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7" firstSheet="4" activeTab="9"/>
  </bookViews>
  <sheets>
    <sheet name="Мира 49 (2011)" sheetId="1" r:id="rId1"/>
    <sheet name="Мира 51 (2011)" sheetId="2" r:id="rId2"/>
    <sheet name="Мира 53 (2011)" sheetId="3" r:id="rId3"/>
    <sheet name="Мира 55 (2011)" sheetId="4" r:id="rId4"/>
    <sheet name="Генерала Иванова 3 (2011) " sheetId="5" r:id="rId5"/>
    <sheet name="Быстринская 12 (2011)" sheetId="6" r:id="rId6"/>
    <sheet name="Югорская 1 (2011)" sheetId="7" r:id="rId7"/>
    <sheet name="Геолог 15-1 (2011)" sheetId="8" r:id="rId8"/>
    <sheet name="Пролетарский 10-2 (2011)" sheetId="9" r:id="rId9"/>
    <sheet name="Рабочая 41 (2011)" sheetId="10" r:id="rId10"/>
  </sheets>
  <definedNames/>
  <calcPr fullCalcOnLoad="1"/>
</workbook>
</file>

<file path=xl/sharedStrings.xml><?xml version="1.0" encoding="utf-8"?>
<sst xmlns="http://schemas.openxmlformats.org/spreadsheetml/2006/main" count="682" uniqueCount="88">
  <si>
    <t>№ п/п</t>
  </si>
  <si>
    <t>Виды услуг по содержанию и текущему ремонту жилищного фонда</t>
  </si>
  <si>
    <t>Размер платы, руб,/м2 жилой площади в месяц без НДС</t>
  </si>
  <si>
    <t>Общая площадь квартир м2</t>
  </si>
  <si>
    <t>Доходы</t>
  </si>
  <si>
    <t>Ремонт и обслуживание кровель</t>
  </si>
  <si>
    <t>Обслуживание подвалов</t>
  </si>
  <si>
    <t>Обслуживание чердаков</t>
  </si>
  <si>
    <t>Обслуживание внутри домового электрооборудования</t>
  </si>
  <si>
    <t>Обслуживание внутри домового сантехнического оборудования</t>
  </si>
  <si>
    <t>Обслуживание центрального отопления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</si>
  <si>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</si>
  <si>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</si>
  <si>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</si>
  <si>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Услуги по управлению жилищным фондом, расчету, и приему платежей за жилищно коммунальные услуги</t>
  </si>
  <si>
    <t>Вывоз твердых бытовых отходов</t>
  </si>
  <si>
    <t>Обслуживание общедомовых приборов учета теплоснабжения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</si>
  <si>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</si>
  <si>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</si>
  <si>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автоматизированных узлов учета</t>
  </si>
  <si>
    <t>Коммунальные услуги</t>
  </si>
  <si>
    <t>выставлено</t>
  </si>
  <si>
    <t xml:space="preserve"> начисленно</t>
  </si>
  <si>
    <t>отклонение</t>
  </si>
  <si>
    <t>перерасчет</t>
  </si>
  <si>
    <t>отклонение с учетом перерасчета</t>
  </si>
  <si>
    <t>Отопление</t>
  </si>
  <si>
    <t>Горячая вода</t>
  </si>
  <si>
    <t>Холодная вода</t>
  </si>
  <si>
    <t>Водоотведение</t>
  </si>
  <si>
    <t>Электроэнергия</t>
  </si>
  <si>
    <t>Итого</t>
  </si>
  <si>
    <t>Расходы</t>
  </si>
  <si>
    <t>Прибыль +; убыток -</t>
  </si>
  <si>
    <t>Обслуживание оргтехники</t>
  </si>
  <si>
    <t>Услуги связи</t>
  </si>
  <si>
    <t>Материалы</t>
  </si>
  <si>
    <t>Прочие расходы всего</t>
  </si>
  <si>
    <t xml:space="preserve">Прочие </t>
  </si>
  <si>
    <t>Всего</t>
  </si>
  <si>
    <t>Утверждаю:</t>
  </si>
  <si>
    <t>Директор НУУК "Комфорт "</t>
  </si>
  <si>
    <t xml:space="preserve">_____________Березная В.А. </t>
  </si>
  <si>
    <t>Начальник ПЭО                                                                                         Светличный В.В.</t>
  </si>
  <si>
    <t>Услуги РКЦ</t>
  </si>
  <si>
    <t>Юридические и консульт.услуги</t>
  </si>
  <si>
    <t>Услуги по поддержке прог.обеспеч.</t>
  </si>
  <si>
    <t>Содержание мусоропровода</t>
  </si>
  <si>
    <t>Итого плата с НДС:</t>
  </si>
  <si>
    <t>Содержание лифтового оборудования (с 01.05.2011г)</t>
  </si>
  <si>
    <t>Ремонт стыков</t>
  </si>
  <si>
    <t>Лифт и тех. диаг. (до 01.05.2011г)</t>
  </si>
  <si>
    <t>Итого сумма за содержание за 2011г при сборе платежей 87%</t>
  </si>
  <si>
    <t>Договора на кладовые помещения</t>
  </si>
  <si>
    <t>"____" "___________" 2012г.</t>
  </si>
  <si>
    <t>Отчет по содержанию и текущему ремонту жилых помещений многоквартирного дома по проспекту Мира 49 за 2011г.</t>
  </si>
  <si>
    <t>Итого сумма за содержание за  2011г</t>
  </si>
  <si>
    <t>Фактическая сумма на содержание за  2011г</t>
  </si>
  <si>
    <t>Доля прочих затрат приходящаяся на Мира 49 из общих прочих затрат НУУК "Комфорт"</t>
  </si>
  <si>
    <t>Доля прочих затрат приходящаяся на Мира 51 из общих прочих затрат НУУК "Комфорт"</t>
  </si>
  <si>
    <t>Доля прочих затрат приходящаяся на Генерала Иванова 3 из общих прочих затрат НУУК "Комфорт"</t>
  </si>
  <si>
    <t>Доля прочих затрат приходящаяся на Мира 53 из общих прочих затрат НУУК "Комфорт"</t>
  </si>
  <si>
    <t>Доля прочих затрат приходящаяся на Быстринская 12 из общих прочих затрат НУУК "Комфорт"</t>
  </si>
  <si>
    <t>Итого сумма за содержание за 2011г при сборе платежей 85%</t>
  </si>
  <si>
    <t>Доля прочих затрат приходящаяся на Югорская 1 из общих прочих затрат НУУК "Комфорт"</t>
  </si>
  <si>
    <t>Итого сумма за содержание за  8 мес. 2011г</t>
  </si>
  <si>
    <t>Фактическая сумма на содержание за 8 мес. 2011г</t>
  </si>
  <si>
    <t>Доля прочих затрат приходящаяся на дом по проспекту Пролетарский 10/2 за  8 мес.2011г. из общих прочих затрат НУУК "Комфорт"</t>
  </si>
  <si>
    <t>Доля прочих затрат приходящаяся на дом по ул. Рабочая 41 за 2011г. из общих прочих затрат НУУК "Комфорт"</t>
  </si>
  <si>
    <t>Обслуживание индивидуальных тепловых пунктов</t>
  </si>
  <si>
    <t>Содержание лифтового оборудования (с 01.04.2011г)</t>
  </si>
  <si>
    <t>Доля прочих затрат приходящаяся на Мира 55  из общих прочих затрат НУУК "Комфорт"</t>
  </si>
  <si>
    <t>Лифт и тех. диаг. (до 01.04.2011г)</t>
  </si>
  <si>
    <t>Отчет по содержанию и текущему ремонту жилых помещений многоквартирного дома по ул.Генерала Иванова 3 за 2011г.</t>
  </si>
  <si>
    <t>Отчет по содержанию и текущему ремонту жилых помещений многоквартирного дома по ул. Быстринская 12 за  2011г.</t>
  </si>
  <si>
    <t>Отчет по содержанию и текущему ремонту жилых помещений многоквартирного дома по ул.Геологическая 15/1 за  2011г.</t>
  </si>
  <si>
    <t>Отчет по содержанию и текущему ремонту жилых помещений многоквартирного дома по проспекту Пролетарский 10/2 за  8 мес.2011г.</t>
  </si>
  <si>
    <t>Отчет по содержанию и текущему ремонту жилых помещений многоквартирного дома по ул. Рабочая 41 за 2011г.</t>
  </si>
  <si>
    <t>Доля прочих затрат приходящаяся на Геологическую 15/1 из общих прочих затрат НУУК "Комфорт"</t>
  </si>
  <si>
    <t>НДС оплаченный в бюджет</t>
  </si>
  <si>
    <t>Содержание паспортной службы</t>
  </si>
  <si>
    <t>Затраты на механизированную уборку территории</t>
  </si>
  <si>
    <t>Предоставленно субсидии из бюджета на механизированную уборку территории</t>
  </si>
  <si>
    <t>Охранно-пожарная сигнализация</t>
  </si>
  <si>
    <t>Отчет по содержанию и текущему ремонту жилых и нежилых помещений многоквартирного дома по проспекту Мира 53 за  2011г.</t>
  </si>
  <si>
    <t xml:space="preserve">Отчет по содержанию и текущему ремонту жилых и нежилых  помещений многоквартирного дома по проспекту Мира 55 за  2011г. </t>
  </si>
  <si>
    <t>Отчет по содержанию и текущему ремонту жилых и нежилых помещений многоквартирного дома по ул. Югорская 1 за  2011г.</t>
  </si>
  <si>
    <t>Отчет по содержанию и текущему ремонту жилых и нежилых помещений многоквартирного дома по проспекту Мира 51 за 2011г.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</si>
</sst>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"/>
  </numFmts>
  <fonts count="9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ont="1" applyBorder="1" applyAlignment="1">
      <alignment horizontal="right" wrapText="1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H41" sqref="H41"/>
    </sheetView>
  </sheetViews>
  <sheetFormatPr defaultColWidth="9.140625" defaultRowHeight="12.75" outlineLevelRow="1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52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v>4610.5</v>
      </c>
      <c r="G11" s="49">
        <f>C11*F11*12</f>
        <v>32642.339999999997</v>
      </c>
      <c r="H11" s="54"/>
      <c r="I11" s="50"/>
      <c r="J11" s="14">
        <f aca="true" t="shared" si="1" ref="J11:J28">G11*0.87</f>
        <v>28398.835799999997</v>
      </c>
      <c r="K11" s="14"/>
      <c r="L11" s="14">
        <f aca="true" t="shared" si="2" ref="L11:L31">J11-K11</f>
        <v>28398.835799999997</v>
      </c>
    </row>
    <row r="12" spans="1:12" ht="18.75" customHeight="1">
      <c r="A12" s="1">
        <f aca="true" t="shared" si="3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4610.5</v>
      </c>
      <c r="G12" s="49">
        <f aca="true" t="shared" si="4" ref="G12:G21">C12*F12*12</f>
        <v>7181.3148</v>
      </c>
      <c r="H12" s="54"/>
      <c r="I12" s="50"/>
      <c r="J12" s="14">
        <f t="shared" si="1"/>
        <v>6247.7438760000005</v>
      </c>
      <c r="K12" s="14"/>
      <c r="L12" s="14">
        <f t="shared" si="2"/>
        <v>6247.7438760000005</v>
      </c>
    </row>
    <row r="13" spans="1:12" ht="18.75" customHeight="1">
      <c r="A13" s="1">
        <f t="shared" si="3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4610.5</v>
      </c>
      <c r="G13" s="49">
        <f t="shared" si="4"/>
        <v>8487.0084</v>
      </c>
      <c r="H13" s="54"/>
      <c r="I13" s="50"/>
      <c r="J13" s="14">
        <f t="shared" si="1"/>
        <v>7383.697308000001</v>
      </c>
      <c r="K13" s="14"/>
      <c r="L13" s="14">
        <f t="shared" si="2"/>
        <v>7383.697308000001</v>
      </c>
    </row>
    <row r="14" spans="1:12" ht="26.25" customHeight="1">
      <c r="A14" s="1">
        <f t="shared" si="3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4610.5</v>
      </c>
      <c r="G14" s="49">
        <f t="shared" si="4"/>
        <v>23502.4848</v>
      </c>
      <c r="H14" s="54"/>
      <c r="I14" s="50"/>
      <c r="J14" s="14">
        <f t="shared" si="1"/>
        <v>20447.161775999997</v>
      </c>
      <c r="K14" s="14">
        <v>28938.93</v>
      </c>
      <c r="L14" s="14">
        <f t="shared" si="2"/>
        <v>-8491.768224000003</v>
      </c>
    </row>
    <row r="15" spans="1:12" ht="24.75" customHeight="1">
      <c r="A15" s="1">
        <f t="shared" si="3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4610.5</v>
      </c>
      <c r="G15" s="49">
        <f t="shared" si="4"/>
        <v>87481.4712</v>
      </c>
      <c r="H15" s="54"/>
      <c r="I15" s="50"/>
      <c r="J15" s="14">
        <f t="shared" si="1"/>
        <v>76108.879944</v>
      </c>
      <c r="K15" s="14">
        <v>95566.67</v>
      </c>
      <c r="L15" s="14">
        <f t="shared" si="2"/>
        <v>-19457.790055999998</v>
      </c>
    </row>
    <row r="16" spans="1:12" ht="25.5">
      <c r="A16" s="1">
        <f t="shared" si="3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4610.5</v>
      </c>
      <c r="G16" s="49">
        <f t="shared" si="4"/>
        <v>43087.8888</v>
      </c>
      <c r="H16" s="54"/>
      <c r="I16" s="50"/>
      <c r="J16" s="14">
        <f t="shared" si="1"/>
        <v>37486.463256</v>
      </c>
      <c r="K16" s="14">
        <v>47070.15</v>
      </c>
      <c r="L16" s="14">
        <f t="shared" si="2"/>
        <v>-9583.686743999999</v>
      </c>
    </row>
    <row r="17" spans="1:12" ht="22.5" customHeight="1">
      <c r="A17" s="1">
        <f t="shared" si="3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4610.5</v>
      </c>
      <c r="G17" s="49">
        <f t="shared" si="4"/>
        <v>44393.5824</v>
      </c>
      <c r="H17" s="54"/>
      <c r="I17" s="50"/>
      <c r="J17" s="14">
        <f t="shared" si="1"/>
        <v>38622.416688</v>
      </c>
      <c r="K17" s="14">
        <v>40115.17</v>
      </c>
      <c r="L17" s="14">
        <f t="shared" si="2"/>
        <v>-1492.7533120000007</v>
      </c>
    </row>
    <row r="18" spans="1:12" ht="18.75" customHeight="1">
      <c r="A18" s="1">
        <f t="shared" si="3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4610.5</v>
      </c>
      <c r="G18" s="49">
        <f t="shared" si="4"/>
        <v>209563.82280000002</v>
      </c>
      <c r="H18" s="54"/>
      <c r="I18" s="50"/>
      <c r="J18" s="14">
        <f t="shared" si="1"/>
        <v>182320.52583600002</v>
      </c>
      <c r="K18" s="14">
        <v>253458.05</v>
      </c>
      <c r="L18" s="14">
        <f t="shared" si="2"/>
        <v>-71137.52416399997</v>
      </c>
    </row>
    <row r="19" spans="1:12" ht="25.5">
      <c r="A19" s="1">
        <f t="shared" si="3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4610.5</v>
      </c>
      <c r="G19" s="49">
        <f t="shared" si="4"/>
        <v>288558.28559999994</v>
      </c>
      <c r="H19" s="54"/>
      <c r="I19" s="50"/>
      <c r="J19" s="14">
        <f t="shared" si="1"/>
        <v>251045.70847199994</v>
      </c>
      <c r="K19" s="14">
        <v>210336.84</v>
      </c>
      <c r="L19" s="14">
        <f t="shared" si="2"/>
        <v>40708.868471999944</v>
      </c>
    </row>
    <row r="20" spans="1:12" ht="53.25" customHeight="1">
      <c r="A20" s="1">
        <f t="shared" si="3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4610.5</v>
      </c>
      <c r="G20" s="49">
        <f t="shared" si="4"/>
        <v>126652.27919999999</v>
      </c>
      <c r="H20" s="54"/>
      <c r="I20" s="50"/>
      <c r="J20" s="14">
        <f t="shared" si="1"/>
        <v>110187.48290399999</v>
      </c>
      <c r="K20" s="14">
        <v>192705.22</v>
      </c>
      <c r="L20" s="14">
        <f t="shared" si="2"/>
        <v>-82517.73709600001</v>
      </c>
    </row>
    <row r="21" spans="1:12" ht="19.5" customHeight="1">
      <c r="A21" s="1"/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4610.5</v>
      </c>
      <c r="G21" s="49">
        <f t="shared" si="4"/>
        <v>71160.3012</v>
      </c>
      <c r="H21" s="54"/>
      <c r="I21" s="50"/>
      <c r="J21" s="14">
        <f t="shared" si="1"/>
        <v>61909.462044</v>
      </c>
      <c r="K21" s="14"/>
      <c r="L21" s="14">
        <f t="shared" si="2"/>
        <v>61909.462044</v>
      </c>
    </row>
    <row r="22" spans="1:12" ht="24.75" customHeight="1">
      <c r="A22" s="1"/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v>4610.5</v>
      </c>
      <c r="G22" s="49">
        <f>C22*F22*8</f>
        <v>247646.5528</v>
      </c>
      <c r="H22" s="54"/>
      <c r="I22" s="50"/>
      <c r="J22" s="14">
        <f t="shared" si="1"/>
        <v>215452.500936</v>
      </c>
      <c r="K22" s="14">
        <v>143976</v>
      </c>
      <c r="L22" s="14">
        <f t="shared" si="2"/>
        <v>71476.500936</v>
      </c>
    </row>
    <row r="23" spans="1:12" ht="18.75" customHeight="1">
      <c r="A23" s="1">
        <f>A20+1</f>
        <v>11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v>4610.5</v>
      </c>
      <c r="G23" s="49">
        <f aca="true" t="shared" si="5" ref="G23:G28">C23*F23*12</f>
        <v>62020.445999999996</v>
      </c>
      <c r="H23" s="54"/>
      <c r="I23" s="50"/>
      <c r="J23" s="14">
        <f t="shared" si="1"/>
        <v>53957.78802</v>
      </c>
      <c r="K23" s="14">
        <v>75000</v>
      </c>
      <c r="L23" s="14">
        <f t="shared" si="2"/>
        <v>-21042.21198</v>
      </c>
    </row>
    <row r="24" spans="1:12" ht="18.75" customHeight="1">
      <c r="A24" s="1">
        <f aca="true" t="shared" si="6" ref="A24:A30">A23+1</f>
        <v>12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4610.5</v>
      </c>
      <c r="G24" s="49">
        <f t="shared" si="5"/>
        <v>17626.863599999997</v>
      </c>
      <c r="H24" s="54"/>
      <c r="I24" s="50"/>
      <c r="J24" s="14">
        <f t="shared" si="1"/>
        <v>15335.371331999997</v>
      </c>
      <c r="K24" s="14">
        <v>28187.9</v>
      </c>
      <c r="L24" s="14">
        <f t="shared" si="2"/>
        <v>-12852.528668000004</v>
      </c>
    </row>
    <row r="25" spans="1:12" ht="27.75" customHeight="1">
      <c r="A25" s="1">
        <f t="shared" si="6"/>
        <v>13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v>4610.5</v>
      </c>
      <c r="G25" s="49">
        <f t="shared" si="5"/>
        <v>114248.18999999999</v>
      </c>
      <c r="H25" s="54"/>
      <c r="I25" s="50"/>
      <c r="J25" s="14">
        <f t="shared" si="1"/>
        <v>99395.92529999999</v>
      </c>
      <c r="K25" s="14">
        <v>30776.26</v>
      </c>
      <c r="L25" s="14">
        <f t="shared" si="2"/>
        <v>68619.6653</v>
      </c>
    </row>
    <row r="26" spans="1:12" ht="38.25">
      <c r="A26" s="1">
        <f t="shared" si="6"/>
        <v>14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v>4610.5</v>
      </c>
      <c r="G26" s="49">
        <f t="shared" si="5"/>
        <v>24155.331599999998</v>
      </c>
      <c r="H26" s="54"/>
      <c r="I26" s="50"/>
      <c r="J26" s="14">
        <f t="shared" si="1"/>
        <v>21015.138492</v>
      </c>
      <c r="K26" s="14">
        <v>6506.98</v>
      </c>
      <c r="L26" s="14">
        <f t="shared" si="2"/>
        <v>14508.158491999999</v>
      </c>
    </row>
    <row r="27" spans="1:12" ht="38.25">
      <c r="A27" s="1">
        <f t="shared" si="6"/>
        <v>15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v>4610.5</v>
      </c>
      <c r="G27" s="49">
        <f t="shared" si="5"/>
        <v>63326.139599999995</v>
      </c>
      <c r="H27" s="54"/>
      <c r="I27" s="50"/>
      <c r="J27" s="14">
        <f t="shared" si="1"/>
        <v>55093.741451999995</v>
      </c>
      <c r="K27" s="14">
        <v>17058.84</v>
      </c>
      <c r="L27" s="14">
        <f t="shared" si="2"/>
        <v>38034.90145199999</v>
      </c>
    </row>
    <row r="28" spans="1:12" ht="25.5" customHeight="1">
      <c r="A28" s="1">
        <f t="shared" si="6"/>
        <v>16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v>4610.5</v>
      </c>
      <c r="G28" s="49">
        <f t="shared" si="5"/>
        <v>33948.0336</v>
      </c>
      <c r="H28" s="54"/>
      <c r="I28" s="50"/>
      <c r="J28" s="14">
        <f t="shared" si="1"/>
        <v>29534.789232000003</v>
      </c>
      <c r="K28" s="14">
        <v>9144.95</v>
      </c>
      <c r="L28" s="14">
        <f t="shared" si="2"/>
        <v>20389.839232000002</v>
      </c>
    </row>
    <row r="29" spans="1:12" ht="25.5" customHeight="1">
      <c r="A29" s="1">
        <f t="shared" si="6"/>
        <v>17</v>
      </c>
      <c r="B29" s="3" t="s">
        <v>50</v>
      </c>
      <c r="C29" s="2"/>
      <c r="D29" s="4"/>
      <c r="E29" s="2"/>
      <c r="F29" s="12"/>
      <c r="G29" s="49"/>
      <c r="H29" s="54"/>
      <c r="I29" s="50"/>
      <c r="J29" s="14"/>
      <c r="K29" s="14">
        <v>228600</v>
      </c>
      <c r="L29" s="14">
        <f t="shared" si="2"/>
        <v>-228600</v>
      </c>
    </row>
    <row r="30" spans="1:12" ht="25.5" customHeight="1" hidden="1" outlineLevel="1">
      <c r="A30" s="1">
        <f t="shared" si="6"/>
        <v>18</v>
      </c>
      <c r="B30" s="3" t="s">
        <v>53</v>
      </c>
      <c r="C30" s="2"/>
      <c r="D30" s="4"/>
      <c r="E30" s="2"/>
      <c r="F30" s="12"/>
      <c r="G30" s="49"/>
      <c r="H30" s="54"/>
      <c r="I30" s="50"/>
      <c r="J30" s="14"/>
      <c r="K30" s="14"/>
      <c r="L30" s="14">
        <f t="shared" si="2"/>
        <v>0</v>
      </c>
    </row>
    <row r="31" spans="1:12" ht="20.25" customHeight="1" collapsed="1">
      <c r="A31" s="5"/>
      <c r="B31" s="6" t="s">
        <v>48</v>
      </c>
      <c r="C31" s="23">
        <f>SUM(C11:C28)</f>
        <v>29.4528</v>
      </c>
      <c r="D31" s="23"/>
      <c r="E31" s="23"/>
      <c r="F31" s="24"/>
      <c r="G31" s="44">
        <f>SUM(G11:I28)</f>
        <v>1505682.3363999997</v>
      </c>
      <c r="H31" s="44"/>
      <c r="I31" s="44"/>
      <c r="J31" s="22">
        <f>SUM(J11:J30)</f>
        <v>1309943.6326680002</v>
      </c>
      <c r="K31" s="22">
        <f>SUM(K11:K30)</f>
        <v>1407441.9599999997</v>
      </c>
      <c r="L31" s="18">
        <f t="shared" si="2"/>
        <v>-97498.32733199955</v>
      </c>
    </row>
    <row r="33" spans="1:12" ht="21.75" customHeight="1">
      <c r="A33" s="10" t="s">
        <v>0</v>
      </c>
      <c r="B33" s="7" t="s">
        <v>20</v>
      </c>
      <c r="C33" s="15" t="s">
        <v>21</v>
      </c>
      <c r="D33" s="15"/>
      <c r="E33" s="15"/>
      <c r="F33" s="61" t="s">
        <v>22</v>
      </c>
      <c r="G33" s="61"/>
      <c r="H33" s="32" t="s">
        <v>23</v>
      </c>
      <c r="I33" s="33"/>
      <c r="J33" s="7" t="s">
        <v>24</v>
      </c>
      <c r="K33" s="51" t="s">
        <v>25</v>
      </c>
      <c r="L33" s="51"/>
    </row>
    <row r="34" spans="1:12" ht="12.75">
      <c r="A34" s="5">
        <v>1</v>
      </c>
      <c r="B34" s="5" t="s">
        <v>26</v>
      </c>
      <c r="C34" s="16">
        <v>1459741.01</v>
      </c>
      <c r="D34" s="19"/>
      <c r="E34" s="19"/>
      <c r="F34" s="54">
        <v>1486720.82</v>
      </c>
      <c r="G34" s="50"/>
      <c r="H34" s="49">
        <f aca="true" t="shared" si="7" ref="H34:H39">F34-C34</f>
        <v>26979.810000000056</v>
      </c>
      <c r="I34" s="50"/>
      <c r="J34" s="13"/>
      <c r="K34" s="49">
        <f aca="true" t="shared" si="8" ref="K34:K40">J34+H34</f>
        <v>26979.810000000056</v>
      </c>
      <c r="L34" s="50"/>
    </row>
    <row r="35" spans="1:12" ht="12.75">
      <c r="A35" s="5">
        <v>2</v>
      </c>
      <c r="B35" s="5" t="s">
        <v>27</v>
      </c>
      <c r="C35" s="16">
        <f>1724981.58-420000</f>
        <v>1304981.58</v>
      </c>
      <c r="D35" s="19"/>
      <c r="E35" s="19"/>
      <c r="F35" s="49">
        <v>1279610.94</v>
      </c>
      <c r="G35" s="50"/>
      <c r="H35" s="49">
        <f>F35-C35</f>
        <v>-25370.64000000013</v>
      </c>
      <c r="I35" s="50"/>
      <c r="J35" s="13"/>
      <c r="K35" s="49">
        <f t="shared" si="8"/>
        <v>-25370.64000000013</v>
      </c>
      <c r="L35" s="50"/>
    </row>
    <row r="36" spans="1:12" ht="12.75">
      <c r="A36" s="5">
        <v>3</v>
      </c>
      <c r="B36" s="5" t="s">
        <v>28</v>
      </c>
      <c r="C36" s="16">
        <v>323161.73</v>
      </c>
      <c r="D36" s="19"/>
      <c r="E36" s="19"/>
      <c r="F36" s="49">
        <v>370694.55</v>
      </c>
      <c r="G36" s="50"/>
      <c r="H36" s="49">
        <f t="shared" si="7"/>
        <v>47532.82000000001</v>
      </c>
      <c r="I36" s="50"/>
      <c r="J36" s="13"/>
      <c r="K36" s="49">
        <f t="shared" si="8"/>
        <v>47532.82000000001</v>
      </c>
      <c r="L36" s="50"/>
    </row>
    <row r="37" spans="1:12" ht="12.75">
      <c r="A37" s="5">
        <v>4</v>
      </c>
      <c r="B37" s="5" t="s">
        <v>29</v>
      </c>
      <c r="C37" s="16">
        <v>631234.61</v>
      </c>
      <c r="D37" s="19"/>
      <c r="E37" s="19"/>
      <c r="F37" s="49">
        <v>646101.88</v>
      </c>
      <c r="G37" s="50"/>
      <c r="H37" s="49">
        <f t="shared" si="7"/>
        <v>14867.270000000019</v>
      </c>
      <c r="I37" s="50"/>
      <c r="J37" s="13"/>
      <c r="K37" s="49">
        <f t="shared" si="8"/>
        <v>14867.270000000019</v>
      </c>
      <c r="L37" s="50"/>
    </row>
    <row r="38" spans="1:12" ht="12.75">
      <c r="A38" s="5">
        <v>5</v>
      </c>
      <c r="B38" s="5" t="s">
        <v>30</v>
      </c>
      <c r="C38" s="16">
        <v>554675</v>
      </c>
      <c r="D38" s="19"/>
      <c r="E38" s="19"/>
      <c r="F38" s="49">
        <v>485908.13</v>
      </c>
      <c r="G38" s="50"/>
      <c r="H38" s="49">
        <f t="shared" si="7"/>
        <v>-68766.87</v>
      </c>
      <c r="I38" s="50"/>
      <c r="J38" s="13"/>
      <c r="K38" s="49">
        <f t="shared" si="8"/>
        <v>-68766.87</v>
      </c>
      <c r="L38" s="50"/>
    </row>
    <row r="39" spans="1:12" ht="12.75">
      <c r="A39" s="5">
        <v>7</v>
      </c>
      <c r="B39" s="5" t="s">
        <v>72</v>
      </c>
      <c r="C39" s="16">
        <v>71988</v>
      </c>
      <c r="D39" s="19"/>
      <c r="E39" s="19"/>
      <c r="F39" s="49">
        <v>100046.78</v>
      </c>
      <c r="G39" s="50"/>
      <c r="H39" s="49">
        <f t="shared" si="7"/>
        <v>28058.78</v>
      </c>
      <c r="I39" s="50"/>
      <c r="J39" s="13"/>
      <c r="K39" s="49">
        <f t="shared" si="8"/>
        <v>28058.78</v>
      </c>
      <c r="L39" s="50"/>
    </row>
    <row r="40" spans="1:12" ht="20.25" customHeight="1">
      <c r="A40" s="5"/>
      <c r="B40" s="8" t="s">
        <v>31</v>
      </c>
      <c r="C40" s="17">
        <f>SUM(C34:C39)</f>
        <v>4345781.93</v>
      </c>
      <c r="D40" s="17"/>
      <c r="E40" s="17"/>
      <c r="F40" s="44">
        <f>SUM(F34:G39)</f>
        <v>4369083.1</v>
      </c>
      <c r="G40" s="44"/>
      <c r="H40" s="46">
        <f>SUM(H34:H39)</f>
        <v>23301.169999999955</v>
      </c>
      <c r="I40" s="47"/>
      <c r="J40" s="18">
        <f>SUM(J34:J39)</f>
        <v>0</v>
      </c>
      <c r="K40" s="46">
        <f t="shared" si="8"/>
        <v>23301.169999999955</v>
      </c>
      <c r="L40" s="47"/>
    </row>
    <row r="42" spans="1:12" ht="34.5" customHeight="1">
      <c r="A42" s="10" t="s">
        <v>0</v>
      </c>
      <c r="B42" s="75" t="s">
        <v>58</v>
      </c>
      <c r="C42" s="75"/>
      <c r="D42" s="75"/>
      <c r="E42" s="75"/>
      <c r="F42" s="75"/>
      <c r="G42" s="76" t="s">
        <v>37</v>
      </c>
      <c r="H42" s="76"/>
      <c r="I42" s="76"/>
      <c r="J42" s="76"/>
      <c r="K42" s="76"/>
      <c r="L42" s="76"/>
    </row>
    <row r="43" spans="1:12" ht="12.75">
      <c r="A43" s="5">
        <v>1</v>
      </c>
      <c r="B43" s="74" t="s">
        <v>36</v>
      </c>
      <c r="C43" s="74"/>
      <c r="D43" s="74"/>
      <c r="E43" s="74"/>
      <c r="F43" s="74"/>
      <c r="G43" s="73">
        <v>-23613.15</v>
      </c>
      <c r="H43" s="73"/>
      <c r="I43" s="73"/>
      <c r="J43" s="73"/>
      <c r="K43" s="73"/>
      <c r="L43" s="73"/>
    </row>
    <row r="44" spans="1:12" ht="12.75">
      <c r="A44" s="5">
        <v>2</v>
      </c>
      <c r="B44" s="74" t="s">
        <v>34</v>
      </c>
      <c r="C44" s="74"/>
      <c r="D44" s="74"/>
      <c r="E44" s="74"/>
      <c r="F44" s="74"/>
      <c r="G44" s="73">
        <v>-2112.51</v>
      </c>
      <c r="H44" s="73"/>
      <c r="I44" s="73"/>
      <c r="J44" s="73"/>
      <c r="K44" s="73"/>
      <c r="L44" s="73"/>
    </row>
    <row r="45" spans="1:12" ht="12.75">
      <c r="A45" s="5">
        <v>3</v>
      </c>
      <c r="B45" s="74" t="s">
        <v>44</v>
      </c>
      <c r="C45" s="74"/>
      <c r="D45" s="74"/>
      <c r="E45" s="74"/>
      <c r="F45" s="74"/>
      <c r="G45" s="73">
        <v>-50483.4</v>
      </c>
      <c r="H45" s="73"/>
      <c r="I45" s="73"/>
      <c r="J45" s="73"/>
      <c r="K45" s="73"/>
      <c r="L45" s="73"/>
    </row>
    <row r="46" spans="1:12" ht="12.75">
      <c r="A46" s="5">
        <v>4</v>
      </c>
      <c r="B46" s="74" t="s">
        <v>35</v>
      </c>
      <c r="C46" s="74"/>
      <c r="D46" s="74"/>
      <c r="E46" s="74"/>
      <c r="F46" s="74"/>
      <c r="G46" s="73">
        <v>-9220.28</v>
      </c>
      <c r="H46" s="73"/>
      <c r="I46" s="73"/>
      <c r="J46" s="73"/>
      <c r="K46" s="73"/>
      <c r="L46" s="73"/>
    </row>
    <row r="47" spans="1:12" ht="12.75">
      <c r="A47" s="5">
        <v>5</v>
      </c>
      <c r="B47" s="74" t="s">
        <v>46</v>
      </c>
      <c r="C47" s="74"/>
      <c r="D47" s="74"/>
      <c r="E47" s="74"/>
      <c r="F47" s="74"/>
      <c r="G47" s="73">
        <v>-3867.86</v>
      </c>
      <c r="H47" s="73"/>
      <c r="I47" s="73"/>
      <c r="J47" s="73"/>
      <c r="K47" s="73"/>
      <c r="L47" s="73"/>
    </row>
    <row r="48" spans="1:12" ht="12.75">
      <c r="A48" s="5">
        <v>6</v>
      </c>
      <c r="B48" s="74" t="s">
        <v>45</v>
      </c>
      <c r="C48" s="74"/>
      <c r="D48" s="74"/>
      <c r="E48" s="74"/>
      <c r="F48" s="74"/>
      <c r="G48" s="73">
        <v>-2624.79</v>
      </c>
      <c r="H48" s="73"/>
      <c r="I48" s="73"/>
      <c r="J48" s="73"/>
      <c r="K48" s="73"/>
      <c r="L48" s="73"/>
    </row>
    <row r="49" spans="1:12" ht="12.75">
      <c r="A49" s="5">
        <v>7</v>
      </c>
      <c r="B49" s="74" t="s">
        <v>83</v>
      </c>
      <c r="C49" s="74"/>
      <c r="D49" s="74"/>
      <c r="E49" s="74"/>
      <c r="F49" s="74"/>
      <c r="G49" s="73">
        <v>-7442.06</v>
      </c>
      <c r="H49" s="73"/>
      <c r="I49" s="73"/>
      <c r="J49" s="73"/>
      <c r="K49" s="73"/>
      <c r="L49" s="73"/>
    </row>
    <row r="50" spans="1:12" ht="12.75">
      <c r="A50" s="5">
        <v>8</v>
      </c>
      <c r="B50" s="74" t="s">
        <v>38</v>
      </c>
      <c r="C50" s="74"/>
      <c r="D50" s="74"/>
      <c r="E50" s="74"/>
      <c r="F50" s="74"/>
      <c r="G50" s="73">
        <v>-7250.84</v>
      </c>
      <c r="H50" s="73"/>
      <c r="I50" s="73"/>
      <c r="J50" s="73"/>
      <c r="K50" s="73"/>
      <c r="L50" s="73"/>
    </row>
    <row r="51" spans="1:12" ht="12.75">
      <c r="A51" s="5">
        <v>9</v>
      </c>
      <c r="B51" s="77" t="s">
        <v>79</v>
      </c>
      <c r="C51" s="78"/>
      <c r="D51" s="78"/>
      <c r="E51" s="78"/>
      <c r="F51" s="79"/>
      <c r="G51" s="49">
        <v>-159218.23</v>
      </c>
      <c r="H51" s="54"/>
      <c r="I51" s="54"/>
      <c r="J51" s="54"/>
      <c r="K51" s="54"/>
      <c r="L51" s="50"/>
    </row>
    <row r="52" spans="1:12" ht="24.75" customHeight="1">
      <c r="A52" s="5"/>
      <c r="B52" s="39" t="s">
        <v>31</v>
      </c>
      <c r="C52" s="39"/>
      <c r="D52" s="39"/>
      <c r="E52" s="39"/>
      <c r="F52" s="39"/>
      <c r="G52" s="44">
        <f>SUM(G43:L51)</f>
        <v>-265833.12</v>
      </c>
      <c r="H52" s="44"/>
      <c r="I52" s="44"/>
      <c r="J52" s="44"/>
      <c r="K52" s="44"/>
      <c r="L52" s="44"/>
    </row>
    <row r="53" spans="1:12" ht="12.75" customHeight="1">
      <c r="A53" s="25"/>
      <c r="B53" s="26"/>
      <c r="C53" s="26"/>
      <c r="D53" s="26"/>
      <c r="E53" s="26"/>
      <c r="F53" s="26"/>
      <c r="G53" s="27"/>
      <c r="H53" s="27"/>
      <c r="I53" s="27"/>
      <c r="J53" s="27"/>
      <c r="K53" s="27"/>
      <c r="L53" s="27"/>
    </row>
    <row r="54" spans="1:12" ht="26.25" customHeight="1">
      <c r="A54" s="10" t="s">
        <v>0</v>
      </c>
      <c r="B54" s="39" t="s">
        <v>81</v>
      </c>
      <c r="C54" s="39"/>
      <c r="D54" s="39"/>
      <c r="E54" s="39"/>
      <c r="F54" s="39"/>
      <c r="G54" s="40" t="s">
        <v>82</v>
      </c>
      <c r="H54" s="41"/>
      <c r="I54" s="41"/>
      <c r="J54" s="42"/>
      <c r="K54" s="43" t="s">
        <v>33</v>
      </c>
      <c r="L54" s="43"/>
    </row>
    <row r="55" spans="1:12" ht="18.75" customHeight="1">
      <c r="A55" s="5">
        <v>1</v>
      </c>
      <c r="B55" s="44">
        <v>109245.77</v>
      </c>
      <c r="C55" s="44"/>
      <c r="D55" s="44"/>
      <c r="E55" s="44"/>
      <c r="F55" s="44"/>
      <c r="G55" s="44">
        <v>38103.82</v>
      </c>
      <c r="H55" s="44"/>
      <c r="I55" s="44"/>
      <c r="J55" s="44"/>
      <c r="K55" s="45">
        <f>G55-B55</f>
        <v>-71141.95000000001</v>
      </c>
      <c r="L55" s="43"/>
    </row>
    <row r="57" spans="1:12" ht="20.25" customHeight="1">
      <c r="A57" s="70" t="s">
        <v>39</v>
      </c>
      <c r="B57" s="63"/>
      <c r="C57" s="62"/>
      <c r="D57" s="62"/>
      <c r="E57" s="62"/>
      <c r="F57" s="62"/>
      <c r="G57" s="62"/>
      <c r="H57" s="62"/>
      <c r="I57" s="63"/>
      <c r="J57" s="72" t="s">
        <v>33</v>
      </c>
      <c r="K57" s="72"/>
      <c r="L57" s="72"/>
    </row>
    <row r="58" spans="1:12" ht="24.75" customHeight="1">
      <c r="A58" s="71"/>
      <c r="B58" s="65"/>
      <c r="C58" s="64"/>
      <c r="D58" s="64"/>
      <c r="E58" s="64"/>
      <c r="F58" s="64"/>
      <c r="G58" s="64"/>
      <c r="H58" s="64"/>
      <c r="I58" s="65"/>
      <c r="J58" s="66">
        <f>L31+K40+G52+K55</f>
        <v>-411172.22733199963</v>
      </c>
      <c r="K58" s="67"/>
      <c r="L58" s="68"/>
    </row>
    <row r="60" spans="1:12" ht="12.75">
      <c r="A60" s="69" t="s">
        <v>43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mergeCells count="93">
    <mergeCell ref="G49:L49"/>
    <mergeCell ref="G50:L50"/>
    <mergeCell ref="B52:F52"/>
    <mergeCell ref="G52:L52"/>
    <mergeCell ref="B49:F49"/>
    <mergeCell ref="B50:F50"/>
    <mergeCell ref="B51:F51"/>
    <mergeCell ref="G51:L51"/>
    <mergeCell ref="G42:L42"/>
    <mergeCell ref="G43:L43"/>
    <mergeCell ref="G44:L44"/>
    <mergeCell ref="G45:L45"/>
    <mergeCell ref="B42:F42"/>
    <mergeCell ref="B43:F43"/>
    <mergeCell ref="B44:F44"/>
    <mergeCell ref="B45:F45"/>
    <mergeCell ref="G47:L47"/>
    <mergeCell ref="G48:L48"/>
    <mergeCell ref="B46:F46"/>
    <mergeCell ref="G46:L46"/>
    <mergeCell ref="B47:F47"/>
    <mergeCell ref="B48:F48"/>
    <mergeCell ref="A60:L60"/>
    <mergeCell ref="A57:B58"/>
    <mergeCell ref="J57:L57"/>
    <mergeCell ref="J1:L1"/>
    <mergeCell ref="J2:L2"/>
    <mergeCell ref="J3:L3"/>
    <mergeCell ref="J4:L4"/>
    <mergeCell ref="G18:I18"/>
    <mergeCell ref="G19:I19"/>
    <mergeCell ref="G20:I20"/>
    <mergeCell ref="G24:I24"/>
    <mergeCell ref="G25:I25"/>
    <mergeCell ref="G30:I30"/>
    <mergeCell ref="F38:G38"/>
    <mergeCell ref="G29:I29"/>
    <mergeCell ref="C57:I58"/>
    <mergeCell ref="J58:L58"/>
    <mergeCell ref="G13:I13"/>
    <mergeCell ref="H37:I37"/>
    <mergeCell ref="H38:I38"/>
    <mergeCell ref="G16:I16"/>
    <mergeCell ref="G17:I17"/>
    <mergeCell ref="G14:I14"/>
    <mergeCell ref="G15:I15"/>
    <mergeCell ref="F37:G37"/>
    <mergeCell ref="H40:I40"/>
    <mergeCell ref="F40:G40"/>
    <mergeCell ref="G26:I26"/>
    <mergeCell ref="G27:I27"/>
    <mergeCell ref="G28:I28"/>
    <mergeCell ref="G31:I31"/>
    <mergeCell ref="F39:G39"/>
    <mergeCell ref="H33:I33"/>
    <mergeCell ref="F33:G33"/>
    <mergeCell ref="H39:I39"/>
    <mergeCell ref="K39:L39"/>
    <mergeCell ref="F36:G36"/>
    <mergeCell ref="H36:I36"/>
    <mergeCell ref="F35:G35"/>
    <mergeCell ref="H35:I35"/>
    <mergeCell ref="A10:J10"/>
    <mergeCell ref="B8:B9"/>
    <mergeCell ref="A8:A9"/>
    <mergeCell ref="F8:F9"/>
    <mergeCell ref="J8:J9"/>
    <mergeCell ref="A7:F7"/>
    <mergeCell ref="F34:G34"/>
    <mergeCell ref="C8:C9"/>
    <mergeCell ref="H34:I34"/>
    <mergeCell ref="G23:I23"/>
    <mergeCell ref="G21:I21"/>
    <mergeCell ref="G22:I22"/>
    <mergeCell ref="G8:I9"/>
    <mergeCell ref="G11:I11"/>
    <mergeCell ref="G12:I12"/>
    <mergeCell ref="K40:L40"/>
    <mergeCell ref="A6:L6"/>
    <mergeCell ref="K35:L35"/>
    <mergeCell ref="K36:L36"/>
    <mergeCell ref="K37:L37"/>
    <mergeCell ref="K38:L38"/>
    <mergeCell ref="L8:L10"/>
    <mergeCell ref="K34:L34"/>
    <mergeCell ref="K33:L33"/>
    <mergeCell ref="K8:K9"/>
    <mergeCell ref="B54:F54"/>
    <mergeCell ref="G54:J54"/>
    <mergeCell ref="K54:L54"/>
    <mergeCell ref="B55:F55"/>
    <mergeCell ref="G55:J55"/>
    <mergeCell ref="K55:L55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1">
      <selection activeCell="N17" sqref="N17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77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6">D11*E11</f>
        <v>0.59</v>
      </c>
      <c r="D11" s="2">
        <v>0.5</v>
      </c>
      <c r="E11" s="2">
        <v>1.18</v>
      </c>
      <c r="F11" s="12">
        <v>5109.1</v>
      </c>
      <c r="G11" s="49">
        <f>C11*F11*12</f>
        <v>36172.428</v>
      </c>
      <c r="H11" s="54"/>
      <c r="I11" s="50"/>
      <c r="J11" s="14">
        <f aca="true" t="shared" si="1" ref="J11:J26">G11*0.85</f>
        <v>30746.5638</v>
      </c>
      <c r="K11" s="14"/>
      <c r="L11" s="14">
        <f aca="true" t="shared" si="2" ref="L11:L27">J11-K11</f>
        <v>30746.5638</v>
      </c>
    </row>
    <row r="12" spans="1:12" ht="18.75" customHeight="1">
      <c r="A12" s="1">
        <f aca="true" t="shared" si="3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5109.1</v>
      </c>
      <c r="G12" s="49">
        <f aca="true" t="shared" si="4" ref="G12:G26">C12*F12*12</f>
        <v>7957.934160000001</v>
      </c>
      <c r="H12" s="54"/>
      <c r="I12" s="50"/>
      <c r="J12" s="14">
        <f t="shared" si="1"/>
        <v>6764.244036</v>
      </c>
      <c r="K12" s="14"/>
      <c r="L12" s="14">
        <f t="shared" si="2"/>
        <v>6764.244036</v>
      </c>
    </row>
    <row r="13" spans="1:12" ht="18.75" customHeight="1">
      <c r="A13" s="1">
        <f t="shared" si="3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5109.1</v>
      </c>
      <c r="G13" s="49">
        <f t="shared" si="4"/>
        <v>9404.831280000002</v>
      </c>
      <c r="H13" s="54"/>
      <c r="I13" s="50"/>
      <c r="J13" s="14">
        <f t="shared" si="1"/>
        <v>7994.1065880000015</v>
      </c>
      <c r="K13" s="14"/>
      <c r="L13" s="14">
        <f t="shared" si="2"/>
        <v>7994.1065880000015</v>
      </c>
    </row>
    <row r="14" spans="1:12" ht="26.25" customHeight="1">
      <c r="A14" s="1">
        <f t="shared" si="3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5109.1</v>
      </c>
      <c r="G14" s="49">
        <f t="shared" si="4"/>
        <v>26044.148159999997</v>
      </c>
      <c r="H14" s="54"/>
      <c r="I14" s="50"/>
      <c r="J14" s="14">
        <f t="shared" si="1"/>
        <v>22137.525936</v>
      </c>
      <c r="K14" s="14">
        <v>32068.52</v>
      </c>
      <c r="L14" s="14">
        <f t="shared" si="2"/>
        <v>-9930.994064000002</v>
      </c>
    </row>
    <row r="15" spans="1:12" ht="24.75" customHeight="1">
      <c r="A15" s="1">
        <f t="shared" si="3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5109.1</v>
      </c>
      <c r="G15" s="49">
        <f t="shared" si="4"/>
        <v>96942.10704</v>
      </c>
      <c r="H15" s="54"/>
      <c r="I15" s="50"/>
      <c r="J15" s="14">
        <f t="shared" si="1"/>
        <v>82400.790984</v>
      </c>
      <c r="K15" s="14">
        <v>105901.68</v>
      </c>
      <c r="L15" s="14">
        <f t="shared" si="2"/>
        <v>-23500.889015999986</v>
      </c>
    </row>
    <row r="16" spans="1:12" ht="25.5">
      <c r="A16" s="1">
        <f t="shared" si="3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5109.1</v>
      </c>
      <c r="G16" s="49">
        <f t="shared" si="4"/>
        <v>47747.604960000004</v>
      </c>
      <c r="H16" s="54"/>
      <c r="I16" s="50"/>
      <c r="J16" s="14">
        <f t="shared" si="1"/>
        <v>40585.464216</v>
      </c>
      <c r="K16" s="14">
        <v>52160.52</v>
      </c>
      <c r="L16" s="14">
        <f t="shared" si="2"/>
        <v>-11575.055783999996</v>
      </c>
    </row>
    <row r="17" spans="1:12" ht="22.5" customHeight="1">
      <c r="A17" s="1">
        <f t="shared" si="3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5109.1</v>
      </c>
      <c r="G17" s="49">
        <f t="shared" si="4"/>
        <v>49194.50208</v>
      </c>
      <c r="H17" s="54"/>
      <c r="I17" s="50"/>
      <c r="J17" s="14">
        <f t="shared" si="1"/>
        <v>41815.326768</v>
      </c>
      <c r="K17" s="14">
        <v>44453.4</v>
      </c>
      <c r="L17" s="14">
        <f t="shared" si="2"/>
        <v>-2638.0732320000025</v>
      </c>
    </row>
    <row r="18" spans="1:12" ht="18.75" customHeight="1">
      <c r="A18" s="1">
        <f t="shared" si="3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5109.1</v>
      </c>
      <c r="G18" s="49">
        <f t="shared" si="4"/>
        <v>232226.98776</v>
      </c>
      <c r="H18" s="54"/>
      <c r="I18" s="50"/>
      <c r="J18" s="14">
        <f t="shared" si="1"/>
        <v>197392.93959599998</v>
      </c>
      <c r="K18" s="14">
        <v>100658.92</v>
      </c>
      <c r="L18" s="14">
        <f t="shared" si="2"/>
        <v>96734.01959599998</v>
      </c>
    </row>
    <row r="19" spans="1:12" ht="25.5">
      <c r="A19" s="1">
        <f t="shared" si="3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5109.1</v>
      </c>
      <c r="G19" s="49">
        <f t="shared" si="4"/>
        <v>319764.26352</v>
      </c>
      <c r="H19" s="54"/>
      <c r="I19" s="50"/>
      <c r="J19" s="14">
        <f t="shared" si="1"/>
        <v>271799.62399199995</v>
      </c>
      <c r="K19" s="14">
        <v>173997.18</v>
      </c>
      <c r="L19" s="14">
        <f t="shared" si="2"/>
        <v>97802.44399199996</v>
      </c>
    </row>
    <row r="20" spans="1:12" ht="53.25" customHeight="1">
      <c r="A20" s="1">
        <f t="shared" si="3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5109.1</v>
      </c>
      <c r="G20" s="49">
        <f t="shared" si="4"/>
        <v>140349.02063999997</v>
      </c>
      <c r="H20" s="54"/>
      <c r="I20" s="50"/>
      <c r="J20" s="14">
        <f t="shared" si="1"/>
        <v>119296.66754399997</v>
      </c>
      <c r="K20" s="14">
        <v>230130.47</v>
      </c>
      <c r="L20" s="14">
        <f t="shared" si="2"/>
        <v>-110833.80245600003</v>
      </c>
    </row>
    <row r="21" spans="1:12" ht="18.75" customHeight="1">
      <c r="A21" s="1">
        <v>12</v>
      </c>
      <c r="B21" s="3" t="s">
        <v>15</v>
      </c>
      <c r="C21" s="2">
        <f t="shared" si="0"/>
        <v>1.121</v>
      </c>
      <c r="D21" s="4">
        <v>0.95</v>
      </c>
      <c r="E21" s="2">
        <v>1.18</v>
      </c>
      <c r="F21" s="12">
        <v>5109.1</v>
      </c>
      <c r="G21" s="49">
        <f t="shared" si="4"/>
        <v>68727.6132</v>
      </c>
      <c r="H21" s="54"/>
      <c r="I21" s="50"/>
      <c r="J21" s="14">
        <f t="shared" si="1"/>
        <v>58418.47122000001</v>
      </c>
      <c r="K21" s="14">
        <v>112500</v>
      </c>
      <c r="L21" s="14">
        <f t="shared" si="2"/>
        <v>-54081.52877999999</v>
      </c>
    </row>
    <row r="22" spans="1:12" ht="18.75" customHeight="1">
      <c r="A22" s="1">
        <v>13</v>
      </c>
      <c r="B22" s="3" t="s">
        <v>80</v>
      </c>
      <c r="C22" s="2">
        <f t="shared" si="0"/>
        <v>0.3186</v>
      </c>
      <c r="D22" s="4">
        <v>0.27</v>
      </c>
      <c r="E22" s="2">
        <v>1.18</v>
      </c>
      <c r="F22" s="12">
        <v>5109.1</v>
      </c>
      <c r="G22" s="49">
        <f t="shared" si="4"/>
        <v>19533.11112</v>
      </c>
      <c r="H22" s="54"/>
      <c r="I22" s="50"/>
      <c r="J22" s="14">
        <f t="shared" si="1"/>
        <v>16603.144452</v>
      </c>
      <c r="K22" s="14">
        <v>31236.26</v>
      </c>
      <c r="L22" s="14">
        <f t="shared" si="2"/>
        <v>-14633.115547999998</v>
      </c>
    </row>
    <row r="23" spans="1:12" ht="27.75" customHeight="1">
      <c r="A23" s="1">
        <v>14</v>
      </c>
      <c r="B23" s="3" t="s">
        <v>16</v>
      </c>
      <c r="C23" s="2">
        <f t="shared" si="0"/>
        <v>2.065</v>
      </c>
      <c r="D23" s="4">
        <v>1.75</v>
      </c>
      <c r="E23" s="2">
        <v>1.18</v>
      </c>
      <c r="F23" s="12">
        <v>5109.1</v>
      </c>
      <c r="G23" s="49">
        <f t="shared" si="4"/>
        <v>126603.49800000002</v>
      </c>
      <c r="H23" s="54"/>
      <c r="I23" s="50"/>
      <c r="J23" s="14">
        <f t="shared" si="1"/>
        <v>107612.97330000001</v>
      </c>
      <c r="K23" s="14">
        <v>34104.54</v>
      </c>
      <c r="L23" s="14">
        <f t="shared" si="2"/>
        <v>73508.4333</v>
      </c>
    </row>
    <row r="24" spans="1:12" ht="38.25">
      <c r="A24" s="1">
        <v>15</v>
      </c>
      <c r="B24" s="3" t="s">
        <v>17</v>
      </c>
      <c r="C24" s="2">
        <f t="shared" si="0"/>
        <v>0.4366</v>
      </c>
      <c r="D24" s="4">
        <f>0.09+0.28</f>
        <v>0.37</v>
      </c>
      <c r="E24" s="2">
        <v>1.18</v>
      </c>
      <c r="F24" s="12">
        <v>5109.1</v>
      </c>
      <c r="G24" s="49">
        <f t="shared" si="4"/>
        <v>26767.59672</v>
      </c>
      <c r="H24" s="54"/>
      <c r="I24" s="50"/>
      <c r="J24" s="14">
        <f t="shared" si="1"/>
        <v>22752.457212</v>
      </c>
      <c r="K24" s="14">
        <v>7210.68</v>
      </c>
      <c r="L24" s="14">
        <f t="shared" si="2"/>
        <v>15541.777212</v>
      </c>
    </row>
    <row r="25" spans="1:12" ht="38.25">
      <c r="A25" s="1">
        <v>16</v>
      </c>
      <c r="B25" s="3" t="s">
        <v>18</v>
      </c>
      <c r="C25" s="2">
        <f t="shared" si="0"/>
        <v>1.1445999999999998</v>
      </c>
      <c r="D25" s="4">
        <v>0.97</v>
      </c>
      <c r="E25" s="2">
        <v>1.18</v>
      </c>
      <c r="F25" s="12">
        <v>5109.1</v>
      </c>
      <c r="G25" s="49">
        <f t="shared" si="4"/>
        <v>70174.51031999999</v>
      </c>
      <c r="H25" s="54"/>
      <c r="I25" s="50"/>
      <c r="J25" s="14">
        <f t="shared" si="1"/>
        <v>59648.33377199998</v>
      </c>
      <c r="K25" s="14">
        <v>18903.66</v>
      </c>
      <c r="L25" s="14">
        <f t="shared" si="2"/>
        <v>40744.67377199998</v>
      </c>
    </row>
    <row r="26" spans="1:12" ht="25.5" customHeight="1">
      <c r="A26" s="1">
        <f>A25+1</f>
        <v>17</v>
      </c>
      <c r="B26" s="3" t="s">
        <v>19</v>
      </c>
      <c r="C26" s="2">
        <f t="shared" si="0"/>
        <v>0.6136</v>
      </c>
      <c r="D26" s="4">
        <v>0.52</v>
      </c>
      <c r="E26" s="2">
        <v>1.18</v>
      </c>
      <c r="F26" s="12">
        <v>5109.1</v>
      </c>
      <c r="G26" s="49">
        <f t="shared" si="4"/>
        <v>37619.32512000001</v>
      </c>
      <c r="H26" s="54"/>
      <c r="I26" s="50"/>
      <c r="J26" s="14">
        <f t="shared" si="1"/>
        <v>31976.426352000006</v>
      </c>
      <c r="K26" s="14">
        <v>10133.92</v>
      </c>
      <c r="L26" s="14">
        <f t="shared" si="2"/>
        <v>21842.506352000004</v>
      </c>
    </row>
    <row r="27" spans="1:12" ht="20.25" customHeight="1">
      <c r="A27" s="5"/>
      <c r="B27" s="6" t="s">
        <v>48</v>
      </c>
      <c r="C27" s="23">
        <f>SUM(C11:C26)</f>
        <v>21.4524</v>
      </c>
      <c r="D27" s="23"/>
      <c r="E27" s="23"/>
      <c r="F27" s="24"/>
      <c r="G27" s="44">
        <f>SUM(G11:I26)</f>
        <v>1315229.48208</v>
      </c>
      <c r="H27" s="44"/>
      <c r="I27" s="44"/>
      <c r="J27" s="22">
        <f>SUM(J11:J26)</f>
        <v>1117945.0597680002</v>
      </c>
      <c r="K27" s="22">
        <f>SUM(K11:K26)</f>
        <v>953459.7500000001</v>
      </c>
      <c r="L27" s="18">
        <f t="shared" si="2"/>
        <v>164485.30976800004</v>
      </c>
    </row>
    <row r="29" spans="1:12" ht="21.75" customHeight="1">
      <c r="A29" s="10" t="s">
        <v>0</v>
      </c>
      <c r="B29" s="7" t="s">
        <v>20</v>
      </c>
      <c r="C29" s="15" t="s">
        <v>21</v>
      </c>
      <c r="D29" s="15"/>
      <c r="E29" s="15"/>
      <c r="F29" s="61" t="s">
        <v>22</v>
      </c>
      <c r="G29" s="61"/>
      <c r="H29" s="32" t="s">
        <v>23</v>
      </c>
      <c r="I29" s="33"/>
      <c r="J29" s="7" t="s">
        <v>24</v>
      </c>
      <c r="K29" s="51" t="s">
        <v>25</v>
      </c>
      <c r="L29" s="51"/>
    </row>
    <row r="30" spans="1:12" ht="12.75">
      <c r="A30" s="5">
        <v>1</v>
      </c>
      <c r="B30" s="5" t="s">
        <v>26</v>
      </c>
      <c r="C30" s="16">
        <v>1006021.14</v>
      </c>
      <c r="D30" s="19"/>
      <c r="E30" s="19"/>
      <c r="F30" s="54">
        <v>785414.47</v>
      </c>
      <c r="G30" s="50"/>
      <c r="H30" s="49">
        <f>F30-C30</f>
        <v>-220606.67000000004</v>
      </c>
      <c r="I30" s="50"/>
      <c r="J30" s="13"/>
      <c r="K30" s="49">
        <f aca="true" t="shared" si="5" ref="K30:K35">J30+H30</f>
        <v>-220606.67000000004</v>
      </c>
      <c r="L30" s="50"/>
    </row>
    <row r="31" spans="1:12" ht="12.75">
      <c r="A31" s="5">
        <v>2</v>
      </c>
      <c r="B31" s="5" t="s">
        <v>27</v>
      </c>
      <c r="C31" s="16">
        <v>791568.27</v>
      </c>
      <c r="D31" s="19"/>
      <c r="E31" s="19"/>
      <c r="F31" s="54">
        <v>439563.52</v>
      </c>
      <c r="G31" s="50"/>
      <c r="H31" s="49">
        <f>F31-C31</f>
        <v>-352004.75</v>
      </c>
      <c r="I31" s="50"/>
      <c r="J31" s="13"/>
      <c r="K31" s="49">
        <f t="shared" si="5"/>
        <v>-352004.75</v>
      </c>
      <c r="L31" s="50"/>
    </row>
    <row r="32" spans="1:12" ht="12.75">
      <c r="A32" s="5">
        <v>3</v>
      </c>
      <c r="B32" s="5" t="s">
        <v>28</v>
      </c>
      <c r="C32" s="16">
        <v>125054.91</v>
      </c>
      <c r="D32" s="19"/>
      <c r="E32" s="19"/>
      <c r="F32" s="54">
        <v>150077.11</v>
      </c>
      <c r="G32" s="50"/>
      <c r="H32" s="49">
        <f>F32-C32</f>
        <v>25022.199999999983</v>
      </c>
      <c r="I32" s="50"/>
      <c r="J32" s="13"/>
      <c r="K32" s="49">
        <f t="shared" si="5"/>
        <v>25022.199999999983</v>
      </c>
      <c r="L32" s="50"/>
    </row>
    <row r="33" spans="1:12" ht="12.75">
      <c r="A33" s="5">
        <v>4</v>
      </c>
      <c r="B33" s="5" t="s">
        <v>29</v>
      </c>
      <c r="C33" s="16">
        <v>173025.67</v>
      </c>
      <c r="D33" s="19"/>
      <c r="E33" s="19"/>
      <c r="F33" s="54">
        <v>242216.59</v>
      </c>
      <c r="G33" s="50"/>
      <c r="H33" s="49">
        <f>F33-C33</f>
        <v>69190.91999999998</v>
      </c>
      <c r="I33" s="50"/>
      <c r="J33" s="13"/>
      <c r="K33" s="49">
        <f t="shared" si="5"/>
        <v>69190.91999999998</v>
      </c>
      <c r="L33" s="50"/>
    </row>
    <row r="34" spans="1:12" ht="12.75">
      <c r="A34" s="5">
        <v>5</v>
      </c>
      <c r="B34" s="5" t="s">
        <v>30</v>
      </c>
      <c r="C34" s="16">
        <v>366665.36</v>
      </c>
      <c r="D34" s="19"/>
      <c r="E34" s="19"/>
      <c r="F34" s="54">
        <v>258833.34</v>
      </c>
      <c r="G34" s="50"/>
      <c r="H34" s="49">
        <f>F34-C34</f>
        <v>-107832.01999999999</v>
      </c>
      <c r="I34" s="50"/>
      <c r="J34" s="13"/>
      <c r="K34" s="49">
        <f t="shared" si="5"/>
        <v>-107832.01999999999</v>
      </c>
      <c r="L34" s="50"/>
    </row>
    <row r="35" spans="1:12" ht="20.25" customHeight="1">
      <c r="A35" s="5"/>
      <c r="B35" s="8" t="s">
        <v>31</v>
      </c>
      <c r="C35" s="17">
        <f>SUM(C30:C34)</f>
        <v>2462335.35</v>
      </c>
      <c r="D35" s="17"/>
      <c r="E35" s="17"/>
      <c r="F35" s="44">
        <f>SUM(F30:G34)</f>
        <v>1876105.0300000003</v>
      </c>
      <c r="G35" s="44"/>
      <c r="H35" s="46">
        <f>SUM(H30:H34)</f>
        <v>-586230.3200000001</v>
      </c>
      <c r="I35" s="47"/>
      <c r="J35" s="18">
        <f>SUM(J30:J34)</f>
        <v>0</v>
      </c>
      <c r="K35" s="46">
        <f t="shared" si="5"/>
        <v>-586230.3200000001</v>
      </c>
      <c r="L35" s="47"/>
    </row>
    <row r="37" spans="1:12" ht="42.75" customHeight="1">
      <c r="A37" s="10" t="s">
        <v>0</v>
      </c>
      <c r="B37" s="75" t="s">
        <v>68</v>
      </c>
      <c r="C37" s="75"/>
      <c r="D37" s="75"/>
      <c r="E37" s="75"/>
      <c r="F37" s="75"/>
      <c r="G37" s="76" t="s">
        <v>37</v>
      </c>
      <c r="H37" s="76"/>
      <c r="I37" s="76"/>
      <c r="J37" s="76"/>
      <c r="K37" s="76"/>
      <c r="L37" s="76"/>
    </row>
    <row r="38" spans="1:12" ht="12.75">
      <c r="A38" s="5">
        <v>1</v>
      </c>
      <c r="B38" s="74" t="s">
        <v>36</v>
      </c>
      <c r="C38" s="74"/>
      <c r="D38" s="74"/>
      <c r="E38" s="74"/>
      <c r="F38" s="74"/>
      <c r="G38" s="73">
        <v>-26166.79</v>
      </c>
      <c r="H38" s="73"/>
      <c r="I38" s="73"/>
      <c r="J38" s="73"/>
      <c r="K38" s="73"/>
      <c r="L38" s="73"/>
    </row>
    <row r="39" spans="1:12" ht="12.75">
      <c r="A39" s="5">
        <v>2</v>
      </c>
      <c r="B39" s="74" t="s">
        <v>34</v>
      </c>
      <c r="C39" s="74"/>
      <c r="D39" s="74"/>
      <c r="E39" s="74"/>
      <c r="F39" s="74"/>
      <c r="G39" s="73">
        <v>-2340.97</v>
      </c>
      <c r="H39" s="73"/>
      <c r="I39" s="73"/>
      <c r="J39" s="73"/>
      <c r="K39" s="73"/>
      <c r="L39" s="73"/>
    </row>
    <row r="40" spans="1:12" ht="12.75">
      <c r="A40" s="5">
        <v>3</v>
      </c>
      <c r="B40" s="74" t="s">
        <v>44</v>
      </c>
      <c r="C40" s="74"/>
      <c r="D40" s="74"/>
      <c r="E40" s="74"/>
      <c r="F40" s="74"/>
      <c r="G40" s="73">
        <v>-55942.89</v>
      </c>
      <c r="H40" s="73"/>
      <c r="I40" s="73"/>
      <c r="J40" s="73"/>
      <c r="K40" s="73"/>
      <c r="L40" s="73"/>
    </row>
    <row r="41" spans="1:12" ht="12.75">
      <c r="A41" s="5">
        <v>4</v>
      </c>
      <c r="B41" s="74" t="s">
        <v>35</v>
      </c>
      <c r="C41" s="74"/>
      <c r="D41" s="74"/>
      <c r="E41" s="74"/>
      <c r="F41" s="74"/>
      <c r="G41" s="73">
        <v>-10217.41</v>
      </c>
      <c r="H41" s="73"/>
      <c r="I41" s="73"/>
      <c r="J41" s="73"/>
      <c r="K41" s="73"/>
      <c r="L41" s="73"/>
    </row>
    <row r="42" spans="1:12" ht="12.75">
      <c r="A42" s="5">
        <v>5</v>
      </c>
      <c r="B42" s="74" t="s">
        <v>46</v>
      </c>
      <c r="C42" s="74"/>
      <c r="D42" s="74"/>
      <c r="E42" s="74"/>
      <c r="F42" s="74"/>
      <c r="G42" s="73">
        <v>-4286.14</v>
      </c>
      <c r="H42" s="73"/>
      <c r="I42" s="73"/>
      <c r="J42" s="73"/>
      <c r="K42" s="73"/>
      <c r="L42" s="73"/>
    </row>
    <row r="43" spans="1:12" ht="12.75">
      <c r="A43" s="5">
        <v>6</v>
      </c>
      <c r="B43" s="74" t="s">
        <v>45</v>
      </c>
      <c r="C43" s="74"/>
      <c r="D43" s="74"/>
      <c r="E43" s="74"/>
      <c r="F43" s="74"/>
      <c r="G43" s="73">
        <v>-2908.64</v>
      </c>
      <c r="H43" s="73"/>
      <c r="I43" s="73"/>
      <c r="J43" s="73"/>
      <c r="K43" s="73"/>
      <c r="L43" s="73"/>
    </row>
    <row r="44" spans="1:12" ht="12.75">
      <c r="A44" s="5">
        <v>7</v>
      </c>
      <c r="B44" s="74" t="s">
        <v>83</v>
      </c>
      <c r="C44" s="74"/>
      <c r="D44" s="74"/>
      <c r="E44" s="74"/>
      <c r="F44" s="74"/>
      <c r="G44" s="73">
        <v>-8246.88</v>
      </c>
      <c r="H44" s="73"/>
      <c r="I44" s="73"/>
      <c r="J44" s="73"/>
      <c r="K44" s="73"/>
      <c r="L44" s="73"/>
    </row>
    <row r="45" spans="1:12" ht="12.75">
      <c r="A45" s="5">
        <v>8</v>
      </c>
      <c r="B45" s="74" t="s">
        <v>38</v>
      </c>
      <c r="C45" s="74"/>
      <c r="D45" s="74"/>
      <c r="E45" s="74"/>
      <c r="F45" s="74"/>
      <c r="G45" s="73">
        <v>-8034.97</v>
      </c>
      <c r="H45" s="73"/>
      <c r="I45" s="73"/>
      <c r="J45" s="73"/>
      <c r="K45" s="73"/>
      <c r="L45" s="73"/>
    </row>
    <row r="46" spans="1:12" ht="12.75">
      <c r="A46" s="5">
        <v>9</v>
      </c>
      <c r="B46" s="77" t="s">
        <v>79</v>
      </c>
      <c r="C46" s="78"/>
      <c r="D46" s="78"/>
      <c r="E46" s="78"/>
      <c r="F46" s="79"/>
      <c r="G46" s="49">
        <v>-119675.22</v>
      </c>
      <c r="H46" s="54"/>
      <c r="I46" s="54"/>
      <c r="J46" s="54"/>
      <c r="K46" s="54"/>
      <c r="L46" s="50"/>
    </row>
    <row r="47" spans="1:12" ht="24.75" customHeight="1">
      <c r="A47" s="5"/>
      <c r="B47" s="39" t="s">
        <v>31</v>
      </c>
      <c r="C47" s="39"/>
      <c r="D47" s="39"/>
      <c r="E47" s="39"/>
      <c r="F47" s="39"/>
      <c r="G47" s="44">
        <f>SUM(G38:G46)</f>
        <v>-237819.91</v>
      </c>
      <c r="H47" s="44"/>
      <c r="I47" s="44"/>
      <c r="J47" s="44"/>
      <c r="K47" s="44"/>
      <c r="L47" s="44"/>
    </row>
    <row r="48" spans="1:12" ht="12.75" customHeight="1">
      <c r="A48" s="25"/>
      <c r="B48" s="26"/>
      <c r="C48" s="26"/>
      <c r="D48" s="26"/>
      <c r="E48" s="26"/>
      <c r="F48" s="26"/>
      <c r="G48" s="27"/>
      <c r="H48" s="27"/>
      <c r="I48" s="27"/>
      <c r="J48" s="27"/>
      <c r="K48" s="27"/>
      <c r="L48" s="27"/>
    </row>
    <row r="49" spans="1:12" ht="26.25" customHeight="1">
      <c r="A49" s="10" t="s">
        <v>0</v>
      </c>
      <c r="B49" s="39" t="s">
        <v>81</v>
      </c>
      <c r="C49" s="39"/>
      <c r="D49" s="39"/>
      <c r="E49" s="39"/>
      <c r="F49" s="39"/>
      <c r="G49" s="40" t="s">
        <v>82</v>
      </c>
      <c r="H49" s="41"/>
      <c r="I49" s="41"/>
      <c r="J49" s="42"/>
      <c r="K49" s="43" t="s">
        <v>33</v>
      </c>
      <c r="L49" s="43"/>
    </row>
    <row r="50" spans="1:12" ht="24.75" customHeight="1">
      <c r="A50" s="5">
        <v>1</v>
      </c>
      <c r="B50" s="44">
        <v>53500.41</v>
      </c>
      <c r="C50" s="44"/>
      <c r="D50" s="44"/>
      <c r="E50" s="44"/>
      <c r="F50" s="44"/>
      <c r="G50" s="44">
        <v>18660.4</v>
      </c>
      <c r="H50" s="44"/>
      <c r="I50" s="44"/>
      <c r="J50" s="44"/>
      <c r="K50" s="45">
        <f>G50-B50</f>
        <v>-34840.01</v>
      </c>
      <c r="L50" s="43"/>
    </row>
    <row r="51" spans="7:12" ht="12.75">
      <c r="G51" s="28"/>
      <c r="H51" s="28"/>
      <c r="I51" s="28"/>
      <c r="J51" s="28"/>
      <c r="K51" s="29"/>
      <c r="L51" s="28"/>
    </row>
    <row r="52" spans="1:12" ht="20.25" customHeight="1">
      <c r="A52" s="70" t="s">
        <v>39</v>
      </c>
      <c r="B52" s="63"/>
      <c r="C52" s="62"/>
      <c r="D52" s="62"/>
      <c r="E52" s="62"/>
      <c r="F52" s="62"/>
      <c r="G52" s="81"/>
      <c r="H52" s="81"/>
      <c r="I52" s="82"/>
      <c r="J52" s="80" t="s">
        <v>33</v>
      </c>
      <c r="K52" s="80"/>
      <c r="L52" s="80"/>
    </row>
    <row r="53" spans="1:12" ht="24.75" customHeight="1">
      <c r="A53" s="71"/>
      <c r="B53" s="65"/>
      <c r="C53" s="64"/>
      <c r="D53" s="64"/>
      <c r="E53" s="64"/>
      <c r="F53" s="64"/>
      <c r="G53" s="64"/>
      <c r="H53" s="64"/>
      <c r="I53" s="65"/>
      <c r="J53" s="66">
        <f>L27+K35+G47+K50</f>
        <v>-694404.9302320001</v>
      </c>
      <c r="K53" s="67"/>
      <c r="L53" s="68"/>
    </row>
    <row r="57" spans="1:12" ht="12.75">
      <c r="A57" s="69" t="s">
        <v>43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</sheetData>
  <mergeCells count="86">
    <mergeCell ref="K35:L35"/>
    <mergeCell ref="A6:L6"/>
    <mergeCell ref="K31:L31"/>
    <mergeCell ref="K32:L32"/>
    <mergeCell ref="K33:L33"/>
    <mergeCell ref="K34:L34"/>
    <mergeCell ref="L8:L10"/>
    <mergeCell ref="K30:L30"/>
    <mergeCell ref="K29:L29"/>
    <mergeCell ref="K8:K9"/>
    <mergeCell ref="A7:F7"/>
    <mergeCell ref="F30:G30"/>
    <mergeCell ref="C8:C9"/>
    <mergeCell ref="H30:I30"/>
    <mergeCell ref="G21:I21"/>
    <mergeCell ref="G8:I9"/>
    <mergeCell ref="G11:I11"/>
    <mergeCell ref="G12:I12"/>
    <mergeCell ref="G23:I23"/>
    <mergeCell ref="F31:G31"/>
    <mergeCell ref="H31:I31"/>
    <mergeCell ref="A10:J10"/>
    <mergeCell ref="B8:B9"/>
    <mergeCell ref="A8:A9"/>
    <mergeCell ref="F8:F9"/>
    <mergeCell ref="J8:J9"/>
    <mergeCell ref="G13:I13"/>
    <mergeCell ref="G14:I14"/>
    <mergeCell ref="G15:I15"/>
    <mergeCell ref="H35:I35"/>
    <mergeCell ref="F35:G35"/>
    <mergeCell ref="G24:I24"/>
    <mergeCell ref="G25:I25"/>
    <mergeCell ref="G26:I26"/>
    <mergeCell ref="G27:I27"/>
    <mergeCell ref="H29:I29"/>
    <mergeCell ref="F29:G29"/>
    <mergeCell ref="F32:G32"/>
    <mergeCell ref="H32:I32"/>
    <mergeCell ref="H33:I33"/>
    <mergeCell ref="H34:I34"/>
    <mergeCell ref="G16:I16"/>
    <mergeCell ref="G17:I17"/>
    <mergeCell ref="F33:G33"/>
    <mergeCell ref="F34:G34"/>
    <mergeCell ref="G18:I18"/>
    <mergeCell ref="G19:I19"/>
    <mergeCell ref="G20:I20"/>
    <mergeCell ref="G22:I22"/>
    <mergeCell ref="J1:L1"/>
    <mergeCell ref="J2:L2"/>
    <mergeCell ref="J3:L3"/>
    <mergeCell ref="J4:L4"/>
    <mergeCell ref="A57:L57"/>
    <mergeCell ref="A52:B53"/>
    <mergeCell ref="J52:L52"/>
    <mergeCell ref="C52:I53"/>
    <mergeCell ref="J53:L53"/>
    <mergeCell ref="B37:F37"/>
    <mergeCell ref="G37:L37"/>
    <mergeCell ref="B38:F38"/>
    <mergeCell ref="G38:L38"/>
    <mergeCell ref="B39:F39"/>
    <mergeCell ref="G39:L39"/>
    <mergeCell ref="B40:F40"/>
    <mergeCell ref="G40:L40"/>
    <mergeCell ref="B41:F41"/>
    <mergeCell ref="G41:L41"/>
    <mergeCell ref="B42:F42"/>
    <mergeCell ref="G42:L42"/>
    <mergeCell ref="B43:F43"/>
    <mergeCell ref="G43:L43"/>
    <mergeCell ref="B44:F44"/>
    <mergeCell ref="G44:L44"/>
    <mergeCell ref="B45:F45"/>
    <mergeCell ref="G45:L45"/>
    <mergeCell ref="B47:F47"/>
    <mergeCell ref="G47:L47"/>
    <mergeCell ref="B46:F46"/>
    <mergeCell ref="G46:L46"/>
    <mergeCell ref="B49:F49"/>
    <mergeCell ref="G49:J49"/>
    <mergeCell ref="K49:L49"/>
    <mergeCell ref="B50:F50"/>
    <mergeCell ref="G50:J50"/>
    <mergeCell ref="K50:L50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O26" sqref="O26"/>
    </sheetView>
  </sheetViews>
  <sheetFormatPr defaultColWidth="9.140625" defaultRowHeight="12.75" outlineLevelRow="1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87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52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f>4607.2+199</f>
        <v>4806.2</v>
      </c>
      <c r="G11" s="49">
        <f aca="true" t="shared" si="1" ref="G11:G21">C11*F11*12</f>
        <v>34027.896</v>
      </c>
      <c r="H11" s="54"/>
      <c r="I11" s="50"/>
      <c r="J11" s="14">
        <f aca="true" t="shared" si="2" ref="J11:J28">G11*0.87</f>
        <v>29604.26952</v>
      </c>
      <c r="K11" s="14"/>
      <c r="L11" s="14">
        <f aca="true" t="shared" si="3" ref="L11:L31">J11-K11</f>
        <v>29604.26952</v>
      </c>
    </row>
    <row r="12" spans="1:12" ht="18.75" customHeight="1">
      <c r="A12" s="1">
        <f aca="true" t="shared" si="4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f aca="true" t="shared" si="5" ref="F12:F28">4607.2+199</f>
        <v>4806.2</v>
      </c>
      <c r="G12" s="49">
        <f t="shared" si="1"/>
        <v>7486.137119999999</v>
      </c>
      <c r="H12" s="54"/>
      <c r="I12" s="50"/>
      <c r="J12" s="14">
        <f t="shared" si="2"/>
        <v>6512.939294399999</v>
      </c>
      <c r="K12" s="14"/>
      <c r="L12" s="14">
        <f t="shared" si="3"/>
        <v>6512.939294399999</v>
      </c>
    </row>
    <row r="13" spans="1:12" ht="18.75" customHeight="1">
      <c r="A13" s="1">
        <f t="shared" si="4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f t="shared" si="5"/>
        <v>4806.2</v>
      </c>
      <c r="G13" s="49">
        <f t="shared" si="1"/>
        <v>8847.25296</v>
      </c>
      <c r="H13" s="54"/>
      <c r="I13" s="50"/>
      <c r="J13" s="14">
        <f t="shared" si="2"/>
        <v>7697.1100752</v>
      </c>
      <c r="K13" s="14"/>
      <c r="L13" s="14">
        <f t="shared" si="3"/>
        <v>7697.1100752</v>
      </c>
    </row>
    <row r="14" spans="1:12" ht="26.25" customHeight="1">
      <c r="A14" s="1">
        <f t="shared" si="4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f t="shared" si="5"/>
        <v>4806.2</v>
      </c>
      <c r="G14" s="49">
        <f t="shared" si="1"/>
        <v>24500.085119999996</v>
      </c>
      <c r="H14" s="54"/>
      <c r="I14" s="50"/>
      <c r="J14" s="14">
        <f t="shared" si="2"/>
        <v>21315.074054399996</v>
      </c>
      <c r="K14" s="14">
        <v>28918.22</v>
      </c>
      <c r="L14" s="14">
        <f t="shared" si="3"/>
        <v>-7603.145945600005</v>
      </c>
    </row>
    <row r="15" spans="1:12" ht="24.75" customHeight="1">
      <c r="A15" s="1">
        <f t="shared" si="4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f t="shared" si="5"/>
        <v>4806.2</v>
      </c>
      <c r="G15" s="49">
        <f t="shared" si="1"/>
        <v>91194.76127999999</v>
      </c>
      <c r="H15" s="54"/>
      <c r="I15" s="50"/>
      <c r="J15" s="14">
        <f t="shared" si="2"/>
        <v>79339.4423136</v>
      </c>
      <c r="K15" s="14">
        <v>95498.25</v>
      </c>
      <c r="L15" s="14">
        <f t="shared" si="3"/>
        <v>-16158.807686400003</v>
      </c>
    </row>
    <row r="16" spans="1:12" ht="25.5">
      <c r="A16" s="1">
        <f t="shared" si="4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f t="shared" si="5"/>
        <v>4806.2</v>
      </c>
      <c r="G16" s="49">
        <f t="shared" si="1"/>
        <v>44916.822720000004</v>
      </c>
      <c r="H16" s="54"/>
      <c r="I16" s="50"/>
      <c r="J16" s="14">
        <f t="shared" si="2"/>
        <v>39077.6357664</v>
      </c>
      <c r="K16" s="14">
        <v>47036.45</v>
      </c>
      <c r="L16" s="14">
        <f t="shared" si="3"/>
        <v>-7958.814233599995</v>
      </c>
    </row>
    <row r="17" spans="1:12" ht="22.5" customHeight="1">
      <c r="A17" s="1">
        <f t="shared" si="4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f t="shared" si="5"/>
        <v>4806.2</v>
      </c>
      <c r="G17" s="49">
        <f t="shared" si="1"/>
        <v>46277.938559999995</v>
      </c>
      <c r="H17" s="54"/>
      <c r="I17" s="50"/>
      <c r="J17" s="14">
        <f t="shared" si="2"/>
        <v>40261.806547199994</v>
      </c>
      <c r="K17" s="14">
        <v>40086.46</v>
      </c>
      <c r="L17" s="14">
        <f t="shared" si="3"/>
        <v>175.34654719999526</v>
      </c>
    </row>
    <row r="18" spans="1:12" ht="18.75" customHeight="1">
      <c r="A18" s="1">
        <f t="shared" si="4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f t="shared" si="5"/>
        <v>4806.2</v>
      </c>
      <c r="G18" s="49">
        <f t="shared" si="1"/>
        <v>218459.09231999997</v>
      </c>
      <c r="H18" s="54"/>
      <c r="I18" s="50"/>
      <c r="J18" s="14">
        <f t="shared" si="2"/>
        <v>190059.41031839998</v>
      </c>
      <c r="K18" s="14">
        <v>253458.04</v>
      </c>
      <c r="L18" s="14">
        <f t="shared" si="3"/>
        <v>-63398.629681600025</v>
      </c>
    </row>
    <row r="19" spans="1:12" ht="25.5">
      <c r="A19" s="1">
        <f t="shared" si="4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4607.2</v>
      </c>
      <c r="G19" s="49">
        <f t="shared" si="1"/>
        <v>288351.74783999997</v>
      </c>
      <c r="H19" s="54"/>
      <c r="I19" s="50"/>
      <c r="J19" s="14">
        <f t="shared" si="2"/>
        <v>250866.02062079997</v>
      </c>
      <c r="K19" s="14">
        <v>234498.95</v>
      </c>
      <c r="L19" s="14">
        <f t="shared" si="3"/>
        <v>16367.070620799961</v>
      </c>
    </row>
    <row r="20" spans="1:12" ht="53.25" customHeight="1">
      <c r="A20" s="1">
        <f t="shared" si="4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f t="shared" si="5"/>
        <v>4806.2</v>
      </c>
      <c r="G20" s="49">
        <f t="shared" si="1"/>
        <v>132028.23647999996</v>
      </c>
      <c r="H20" s="54"/>
      <c r="I20" s="50"/>
      <c r="J20" s="14">
        <f t="shared" si="2"/>
        <v>114864.56573759997</v>
      </c>
      <c r="K20" s="14">
        <v>192787.79</v>
      </c>
      <c r="L20" s="14">
        <f t="shared" si="3"/>
        <v>-77923.22426240004</v>
      </c>
    </row>
    <row r="21" spans="1:12" ht="19.5" customHeight="1">
      <c r="A21" s="1"/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4607.2</v>
      </c>
      <c r="G21" s="49">
        <f t="shared" si="1"/>
        <v>71109.36768</v>
      </c>
      <c r="H21" s="54"/>
      <c r="I21" s="50"/>
      <c r="J21" s="14">
        <f t="shared" si="2"/>
        <v>61865.149881599995</v>
      </c>
      <c r="K21" s="14"/>
      <c r="L21" s="14">
        <f t="shared" si="3"/>
        <v>61865.149881599995</v>
      </c>
    </row>
    <row r="22" spans="1:12" ht="24.75" customHeight="1">
      <c r="A22" s="1"/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f t="shared" si="5"/>
        <v>4806.2</v>
      </c>
      <c r="G22" s="49">
        <f>C22*F22*8</f>
        <v>258158.30432</v>
      </c>
      <c r="H22" s="54"/>
      <c r="I22" s="50"/>
      <c r="J22" s="14">
        <f t="shared" si="2"/>
        <v>224597.7247584</v>
      </c>
      <c r="K22" s="14">
        <v>143976</v>
      </c>
      <c r="L22" s="14">
        <f t="shared" si="3"/>
        <v>80621.7247584</v>
      </c>
    </row>
    <row r="23" spans="1:12" ht="18.75" customHeight="1">
      <c r="A23" s="1">
        <f>A20+1</f>
        <v>11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f t="shared" si="5"/>
        <v>4806.2</v>
      </c>
      <c r="G23" s="49">
        <f aca="true" t="shared" si="6" ref="G23:G28">C23*F23*12</f>
        <v>64653.0024</v>
      </c>
      <c r="H23" s="54"/>
      <c r="I23" s="50"/>
      <c r="J23" s="14">
        <f t="shared" si="2"/>
        <v>56248.112087999994</v>
      </c>
      <c r="K23" s="14">
        <v>75000</v>
      </c>
      <c r="L23" s="14">
        <f t="shared" si="3"/>
        <v>-18751.887912000006</v>
      </c>
    </row>
    <row r="24" spans="1:12" ht="18.75" customHeight="1">
      <c r="A24" s="1">
        <f aca="true" t="shared" si="7" ref="A24:A30">A23+1</f>
        <v>12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4607.2</v>
      </c>
      <c r="G24" s="49">
        <f t="shared" si="6"/>
        <v>17614.247040000002</v>
      </c>
      <c r="H24" s="54"/>
      <c r="I24" s="50"/>
      <c r="J24" s="14">
        <f t="shared" si="2"/>
        <v>15324.3949248</v>
      </c>
      <c r="K24" s="14">
        <v>28167.72</v>
      </c>
      <c r="L24" s="14">
        <f t="shared" si="3"/>
        <v>-12843.3250752</v>
      </c>
    </row>
    <row r="25" spans="1:12" ht="27.75" customHeight="1">
      <c r="A25" s="1">
        <f t="shared" si="7"/>
        <v>13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f t="shared" si="5"/>
        <v>4806.2</v>
      </c>
      <c r="G25" s="49">
        <f t="shared" si="6"/>
        <v>119097.636</v>
      </c>
      <c r="H25" s="54"/>
      <c r="I25" s="50"/>
      <c r="J25" s="14">
        <f t="shared" si="2"/>
        <v>103614.94331999999</v>
      </c>
      <c r="K25" s="14">
        <v>30754.23</v>
      </c>
      <c r="L25" s="14">
        <f t="shared" si="3"/>
        <v>72860.71332</v>
      </c>
    </row>
    <row r="26" spans="1:12" ht="38.25">
      <c r="A26" s="1">
        <f t="shared" si="7"/>
        <v>14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f t="shared" si="5"/>
        <v>4806.2</v>
      </c>
      <c r="G26" s="49">
        <f t="shared" si="6"/>
        <v>25180.64304</v>
      </c>
      <c r="H26" s="54"/>
      <c r="I26" s="50"/>
      <c r="J26" s="14">
        <f t="shared" si="2"/>
        <v>21907.1594448</v>
      </c>
      <c r="K26" s="14">
        <v>6502.32</v>
      </c>
      <c r="L26" s="14">
        <f t="shared" si="3"/>
        <v>15404.8394448</v>
      </c>
    </row>
    <row r="27" spans="1:12" ht="38.25">
      <c r="A27" s="1">
        <f t="shared" si="7"/>
        <v>15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f t="shared" si="5"/>
        <v>4806.2</v>
      </c>
      <c r="G27" s="49">
        <f t="shared" si="6"/>
        <v>66014.11823999998</v>
      </c>
      <c r="H27" s="54"/>
      <c r="I27" s="50"/>
      <c r="J27" s="14">
        <f t="shared" si="2"/>
        <v>57432.282868799986</v>
      </c>
      <c r="K27" s="14">
        <v>17046.63</v>
      </c>
      <c r="L27" s="14">
        <f t="shared" si="3"/>
        <v>40385.65286879998</v>
      </c>
    </row>
    <row r="28" spans="1:12" ht="25.5" customHeight="1">
      <c r="A28" s="1">
        <f t="shared" si="7"/>
        <v>16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f t="shared" si="5"/>
        <v>4806.2</v>
      </c>
      <c r="G28" s="49">
        <f t="shared" si="6"/>
        <v>35389.01184</v>
      </c>
      <c r="H28" s="54"/>
      <c r="I28" s="50"/>
      <c r="J28" s="14">
        <f t="shared" si="2"/>
        <v>30788.4403008</v>
      </c>
      <c r="K28" s="14">
        <v>9138.4</v>
      </c>
      <c r="L28" s="14">
        <f t="shared" si="3"/>
        <v>21650.0403008</v>
      </c>
    </row>
    <row r="29" spans="1:12" ht="25.5" customHeight="1">
      <c r="A29" s="1">
        <f t="shared" si="7"/>
        <v>17</v>
      </c>
      <c r="B29" s="3" t="s">
        <v>50</v>
      </c>
      <c r="C29" s="2"/>
      <c r="D29" s="4"/>
      <c r="E29" s="2"/>
      <c r="F29" s="12"/>
      <c r="G29" s="49"/>
      <c r="H29" s="54"/>
      <c r="I29" s="50"/>
      <c r="J29" s="14"/>
      <c r="K29" s="14">
        <v>167400</v>
      </c>
      <c r="L29" s="14">
        <f t="shared" si="3"/>
        <v>-167400</v>
      </c>
    </row>
    <row r="30" spans="1:12" ht="25.5" customHeight="1" hidden="1" outlineLevel="1">
      <c r="A30" s="1">
        <f t="shared" si="7"/>
        <v>18</v>
      </c>
      <c r="B30" s="3" t="s">
        <v>53</v>
      </c>
      <c r="C30" s="2"/>
      <c r="D30" s="4"/>
      <c r="E30" s="2"/>
      <c r="F30" s="12"/>
      <c r="G30" s="49"/>
      <c r="H30" s="54"/>
      <c r="I30" s="50"/>
      <c r="J30" s="14"/>
      <c r="K30" s="14"/>
      <c r="L30" s="14">
        <f t="shared" si="3"/>
        <v>0</v>
      </c>
    </row>
    <row r="31" spans="1:12" ht="20.25" customHeight="1" collapsed="1">
      <c r="A31" s="5"/>
      <c r="B31" s="6" t="s">
        <v>48</v>
      </c>
      <c r="C31" s="23">
        <f>SUM(C11:C28)</f>
        <v>29.4528</v>
      </c>
      <c r="D31" s="23"/>
      <c r="E31" s="23"/>
      <c r="F31" s="24"/>
      <c r="G31" s="44">
        <f>SUM(G11:I28)</f>
        <v>1553306.30096</v>
      </c>
      <c r="H31" s="44"/>
      <c r="I31" s="44"/>
      <c r="J31" s="22">
        <f>SUM(J11:J30)</f>
        <v>1351376.4818351998</v>
      </c>
      <c r="K31" s="22">
        <f>SUM(K11:K30)</f>
        <v>1370269.46</v>
      </c>
      <c r="L31" s="18">
        <f t="shared" si="3"/>
        <v>-18892.97816480021</v>
      </c>
    </row>
    <row r="33" spans="1:12" ht="21.75" customHeight="1">
      <c r="A33" s="10" t="s">
        <v>0</v>
      </c>
      <c r="B33" s="7" t="s">
        <v>20</v>
      </c>
      <c r="C33" s="15" t="s">
        <v>21</v>
      </c>
      <c r="D33" s="15"/>
      <c r="E33" s="15"/>
      <c r="F33" s="61" t="s">
        <v>22</v>
      </c>
      <c r="G33" s="61"/>
      <c r="H33" s="32" t="s">
        <v>23</v>
      </c>
      <c r="I33" s="33"/>
      <c r="J33" s="7" t="s">
        <v>24</v>
      </c>
      <c r="K33" s="51" t="s">
        <v>25</v>
      </c>
      <c r="L33" s="51"/>
    </row>
    <row r="34" spans="1:12" ht="12.75">
      <c r="A34" s="5">
        <v>1</v>
      </c>
      <c r="B34" s="5" t="s">
        <v>26</v>
      </c>
      <c r="C34" s="16">
        <v>1360364.3</v>
      </c>
      <c r="D34" s="19"/>
      <c r="E34" s="19"/>
      <c r="F34" s="49">
        <v>1481010.09</v>
      </c>
      <c r="G34" s="50"/>
      <c r="H34" s="49">
        <f aca="true" t="shared" si="8" ref="H34:H39">F34-C34</f>
        <v>120645.79000000004</v>
      </c>
      <c r="I34" s="50"/>
      <c r="J34" s="13"/>
      <c r="K34" s="49">
        <f aca="true" t="shared" si="9" ref="K34:K40">J34+H34</f>
        <v>120645.79000000004</v>
      </c>
      <c r="L34" s="50"/>
    </row>
    <row r="35" spans="1:12" ht="12.75">
      <c r="A35" s="5">
        <v>2</v>
      </c>
      <c r="B35" s="5" t="s">
        <v>27</v>
      </c>
      <c r="C35" s="16">
        <v>1201181.18</v>
      </c>
      <c r="D35" s="19"/>
      <c r="E35" s="19"/>
      <c r="F35" s="49">
        <v>1188744.25</v>
      </c>
      <c r="G35" s="50"/>
      <c r="H35" s="49">
        <f t="shared" si="8"/>
        <v>-12436.929999999935</v>
      </c>
      <c r="I35" s="50"/>
      <c r="J35" s="13"/>
      <c r="K35" s="49">
        <f t="shared" si="9"/>
        <v>-12436.929999999935</v>
      </c>
      <c r="L35" s="50"/>
    </row>
    <row r="36" spans="1:12" ht="12.75">
      <c r="A36" s="5">
        <v>3</v>
      </c>
      <c r="B36" s="5" t="s">
        <v>28</v>
      </c>
      <c r="C36" s="16">
        <v>435435.13</v>
      </c>
      <c r="D36" s="19"/>
      <c r="E36" s="19"/>
      <c r="F36" s="49">
        <v>360876.27</v>
      </c>
      <c r="G36" s="50"/>
      <c r="H36" s="49">
        <f t="shared" si="8"/>
        <v>-74558.85999999999</v>
      </c>
      <c r="I36" s="50"/>
      <c r="J36" s="13"/>
      <c r="K36" s="49">
        <f t="shared" si="9"/>
        <v>-74558.85999999999</v>
      </c>
      <c r="L36" s="50"/>
    </row>
    <row r="37" spans="1:12" ht="12.75">
      <c r="A37" s="5">
        <v>4</v>
      </c>
      <c r="B37" s="5" t="s">
        <v>29</v>
      </c>
      <c r="C37" s="16">
        <v>686621.87</v>
      </c>
      <c r="D37" s="19"/>
      <c r="E37" s="19"/>
      <c r="F37" s="49">
        <v>612702.29</v>
      </c>
      <c r="G37" s="50"/>
      <c r="H37" s="49">
        <f t="shared" si="8"/>
        <v>-73919.57999999996</v>
      </c>
      <c r="I37" s="50"/>
      <c r="J37" s="13"/>
      <c r="K37" s="49">
        <f t="shared" si="9"/>
        <v>-73919.57999999996</v>
      </c>
      <c r="L37" s="50"/>
    </row>
    <row r="38" spans="1:12" ht="12.75">
      <c r="A38" s="5">
        <v>5</v>
      </c>
      <c r="B38" s="5" t="s">
        <v>30</v>
      </c>
      <c r="C38" s="16">
        <v>470040.83</v>
      </c>
      <c r="D38" s="19"/>
      <c r="E38" s="19"/>
      <c r="F38" s="49">
        <v>444547.61</v>
      </c>
      <c r="G38" s="50"/>
      <c r="H38" s="49">
        <f t="shared" si="8"/>
        <v>-25493.22000000003</v>
      </c>
      <c r="I38" s="50"/>
      <c r="J38" s="13"/>
      <c r="K38" s="49">
        <f t="shared" si="9"/>
        <v>-25493.22000000003</v>
      </c>
      <c r="L38" s="50"/>
    </row>
    <row r="39" spans="1:12" ht="12.75">
      <c r="A39" s="5">
        <v>7</v>
      </c>
      <c r="B39" s="5" t="s">
        <v>72</v>
      </c>
      <c r="C39" s="16">
        <v>71988</v>
      </c>
      <c r="D39" s="19"/>
      <c r="E39" s="19"/>
      <c r="F39" s="49">
        <v>99057.23</v>
      </c>
      <c r="G39" s="50"/>
      <c r="H39" s="49">
        <f t="shared" si="8"/>
        <v>27069.229999999996</v>
      </c>
      <c r="I39" s="50"/>
      <c r="J39" s="13"/>
      <c r="K39" s="49">
        <f t="shared" si="9"/>
        <v>27069.229999999996</v>
      </c>
      <c r="L39" s="50"/>
    </row>
    <row r="40" spans="1:12" ht="20.25" customHeight="1">
      <c r="A40" s="5"/>
      <c r="B40" s="8" t="s">
        <v>31</v>
      </c>
      <c r="C40" s="17">
        <f>SUM(C34:C39)</f>
        <v>4225631.3100000005</v>
      </c>
      <c r="D40" s="17"/>
      <c r="E40" s="17"/>
      <c r="F40" s="44">
        <f>SUM(F34:G39)</f>
        <v>4186937.7399999998</v>
      </c>
      <c r="G40" s="44"/>
      <c r="H40" s="46">
        <f>SUM(H34:H39)</f>
        <v>-38693.569999999876</v>
      </c>
      <c r="I40" s="47"/>
      <c r="J40" s="18">
        <f>SUM(J34:J39)</f>
        <v>0</v>
      </c>
      <c r="K40" s="46">
        <f t="shared" si="9"/>
        <v>-38693.569999999876</v>
      </c>
      <c r="L40" s="47"/>
    </row>
    <row r="42" spans="1:12" ht="34.5" customHeight="1">
      <c r="A42" s="10" t="s">
        <v>0</v>
      </c>
      <c r="B42" s="75" t="s">
        <v>59</v>
      </c>
      <c r="C42" s="75"/>
      <c r="D42" s="75"/>
      <c r="E42" s="75"/>
      <c r="F42" s="75"/>
      <c r="G42" s="76" t="s">
        <v>37</v>
      </c>
      <c r="H42" s="76"/>
      <c r="I42" s="76"/>
      <c r="J42" s="76"/>
      <c r="K42" s="76"/>
      <c r="L42" s="76"/>
    </row>
    <row r="43" spans="1:12" ht="12.75">
      <c r="A43" s="5">
        <v>1</v>
      </c>
      <c r="B43" s="74" t="s">
        <v>36</v>
      </c>
      <c r="C43" s="74"/>
      <c r="D43" s="74"/>
      <c r="E43" s="74"/>
      <c r="F43" s="74"/>
      <c r="G43" s="73">
        <v>-23596.25</v>
      </c>
      <c r="H43" s="73"/>
      <c r="I43" s="73"/>
      <c r="J43" s="73"/>
      <c r="K43" s="73"/>
      <c r="L43" s="73"/>
    </row>
    <row r="44" spans="1:12" ht="12.75">
      <c r="A44" s="5">
        <v>2</v>
      </c>
      <c r="B44" s="74" t="s">
        <v>34</v>
      </c>
      <c r="C44" s="74"/>
      <c r="D44" s="74"/>
      <c r="E44" s="74"/>
      <c r="F44" s="74"/>
      <c r="G44" s="73">
        <v>-2111</v>
      </c>
      <c r="H44" s="73"/>
      <c r="I44" s="73"/>
      <c r="J44" s="73"/>
      <c r="K44" s="73"/>
      <c r="L44" s="73"/>
    </row>
    <row r="45" spans="1:12" ht="12.75">
      <c r="A45" s="5">
        <v>3</v>
      </c>
      <c r="B45" s="74" t="s">
        <v>44</v>
      </c>
      <c r="C45" s="74"/>
      <c r="D45" s="74"/>
      <c r="E45" s="74"/>
      <c r="F45" s="74"/>
      <c r="G45" s="73">
        <v>-50447.26</v>
      </c>
      <c r="H45" s="73"/>
      <c r="I45" s="73"/>
      <c r="J45" s="73"/>
      <c r="K45" s="73"/>
      <c r="L45" s="73"/>
    </row>
    <row r="46" spans="1:12" ht="12.75">
      <c r="A46" s="5">
        <v>4</v>
      </c>
      <c r="B46" s="74" t="s">
        <v>35</v>
      </c>
      <c r="C46" s="74"/>
      <c r="D46" s="74"/>
      <c r="E46" s="74"/>
      <c r="F46" s="74"/>
      <c r="G46" s="73">
        <v>-9213.69</v>
      </c>
      <c r="H46" s="73"/>
      <c r="I46" s="73"/>
      <c r="J46" s="73"/>
      <c r="K46" s="73"/>
      <c r="L46" s="73"/>
    </row>
    <row r="47" spans="1:12" ht="12.75">
      <c r="A47" s="5">
        <v>5</v>
      </c>
      <c r="B47" s="74" t="s">
        <v>46</v>
      </c>
      <c r="C47" s="74"/>
      <c r="D47" s="74"/>
      <c r="E47" s="74"/>
      <c r="F47" s="74"/>
      <c r="G47" s="73">
        <v>-3865.09</v>
      </c>
      <c r="H47" s="73"/>
      <c r="I47" s="73"/>
      <c r="J47" s="73"/>
      <c r="K47" s="73"/>
      <c r="L47" s="73"/>
    </row>
    <row r="48" spans="1:12" ht="12.75">
      <c r="A48" s="5">
        <v>6</v>
      </c>
      <c r="B48" s="74" t="s">
        <v>45</v>
      </c>
      <c r="C48" s="74"/>
      <c r="D48" s="74"/>
      <c r="E48" s="74"/>
      <c r="F48" s="74"/>
      <c r="G48" s="73">
        <v>-2622.91</v>
      </c>
      <c r="H48" s="73"/>
      <c r="I48" s="73"/>
      <c r="J48" s="73"/>
      <c r="K48" s="73"/>
      <c r="L48" s="73"/>
    </row>
    <row r="49" spans="1:12" ht="12.75">
      <c r="A49" s="5">
        <v>7</v>
      </c>
      <c r="B49" s="74" t="s">
        <v>83</v>
      </c>
      <c r="C49" s="74"/>
      <c r="D49" s="74"/>
      <c r="E49" s="74"/>
      <c r="F49" s="74"/>
      <c r="G49" s="73">
        <v>-7436.74</v>
      </c>
      <c r="H49" s="73"/>
      <c r="I49" s="73"/>
      <c r="J49" s="73"/>
      <c r="K49" s="73"/>
      <c r="L49" s="73"/>
    </row>
    <row r="50" spans="1:12" ht="12.75">
      <c r="A50" s="5">
        <v>8</v>
      </c>
      <c r="B50" s="74" t="s">
        <v>38</v>
      </c>
      <c r="C50" s="74"/>
      <c r="D50" s="74"/>
      <c r="E50" s="74"/>
      <c r="F50" s="74"/>
      <c r="G50" s="73">
        <v>-7245.64</v>
      </c>
      <c r="H50" s="73"/>
      <c r="I50" s="73"/>
      <c r="J50" s="73"/>
      <c r="K50" s="73"/>
      <c r="L50" s="73"/>
    </row>
    <row r="51" spans="1:12" ht="12.75">
      <c r="A51" s="5">
        <v>9</v>
      </c>
      <c r="B51" s="77" t="s">
        <v>79</v>
      </c>
      <c r="C51" s="78"/>
      <c r="D51" s="78"/>
      <c r="E51" s="78"/>
      <c r="F51" s="79"/>
      <c r="G51" s="49">
        <v>-143771.48</v>
      </c>
      <c r="H51" s="54"/>
      <c r="I51" s="54"/>
      <c r="J51" s="54"/>
      <c r="K51" s="54"/>
      <c r="L51" s="50"/>
    </row>
    <row r="52" spans="1:12" ht="24.75" customHeight="1">
      <c r="A52" s="5"/>
      <c r="B52" s="39" t="s">
        <v>31</v>
      </c>
      <c r="C52" s="39"/>
      <c r="D52" s="39"/>
      <c r="E52" s="39"/>
      <c r="F52" s="39"/>
      <c r="G52" s="44">
        <f>SUM(G43:G51)</f>
        <v>-250310.06000000003</v>
      </c>
      <c r="H52" s="44"/>
      <c r="I52" s="44"/>
      <c r="J52" s="44"/>
      <c r="K52" s="44"/>
      <c r="L52" s="44"/>
    </row>
    <row r="53" spans="1:12" ht="14.25" customHeight="1">
      <c r="A53" s="30"/>
      <c r="B53" s="26"/>
      <c r="C53" s="26"/>
      <c r="D53" s="26"/>
      <c r="E53" s="26"/>
      <c r="F53" s="26"/>
      <c r="G53" s="27"/>
      <c r="H53" s="27"/>
      <c r="I53" s="27"/>
      <c r="J53" s="27"/>
      <c r="K53" s="27"/>
      <c r="L53" s="27"/>
    </row>
    <row r="54" spans="1:12" ht="26.25" customHeight="1">
      <c r="A54" s="10" t="s">
        <v>0</v>
      </c>
      <c r="B54" s="39" t="s">
        <v>81</v>
      </c>
      <c r="C54" s="39"/>
      <c r="D54" s="39"/>
      <c r="E54" s="39"/>
      <c r="F54" s="39"/>
      <c r="G54" s="40" t="s">
        <v>82</v>
      </c>
      <c r="H54" s="41"/>
      <c r="I54" s="41"/>
      <c r="J54" s="42"/>
      <c r="K54" s="43" t="s">
        <v>33</v>
      </c>
      <c r="L54" s="43"/>
    </row>
    <row r="55" spans="1:12" ht="24.75" customHeight="1">
      <c r="A55" s="5">
        <v>1</v>
      </c>
      <c r="B55" s="44">
        <v>82136.63</v>
      </c>
      <c r="C55" s="44"/>
      <c r="D55" s="44"/>
      <c r="E55" s="44"/>
      <c r="F55" s="44"/>
      <c r="G55" s="44">
        <v>28648.43</v>
      </c>
      <c r="H55" s="44"/>
      <c r="I55" s="44"/>
      <c r="J55" s="44"/>
      <c r="K55" s="45">
        <f>G55-B55</f>
        <v>-53488.200000000004</v>
      </c>
      <c r="L55" s="43"/>
    </row>
    <row r="56" spans="1:12" ht="13.5" customHeight="1">
      <c r="A56" s="25"/>
      <c r="B56" s="26"/>
      <c r="C56" s="26"/>
      <c r="D56" s="26"/>
      <c r="E56" s="26"/>
      <c r="F56" s="26"/>
      <c r="G56" s="27"/>
      <c r="H56" s="27"/>
      <c r="I56" s="27"/>
      <c r="J56" s="27"/>
      <c r="K56" s="27"/>
      <c r="L56" s="27"/>
    </row>
    <row r="57" spans="1:12" ht="20.25" customHeight="1">
      <c r="A57" s="70" t="s">
        <v>39</v>
      </c>
      <c r="B57" s="63"/>
      <c r="C57" s="62"/>
      <c r="D57" s="62"/>
      <c r="E57" s="62"/>
      <c r="F57" s="62"/>
      <c r="G57" s="62"/>
      <c r="H57" s="62"/>
      <c r="I57" s="63"/>
      <c r="J57" s="72" t="s">
        <v>33</v>
      </c>
      <c r="K57" s="72"/>
      <c r="L57" s="72"/>
    </row>
    <row r="58" spans="1:12" ht="24.75" customHeight="1">
      <c r="A58" s="71"/>
      <c r="B58" s="65"/>
      <c r="C58" s="64"/>
      <c r="D58" s="64"/>
      <c r="E58" s="64"/>
      <c r="F58" s="64"/>
      <c r="G58" s="64"/>
      <c r="H58" s="64"/>
      <c r="I58" s="65"/>
      <c r="J58" s="66">
        <f>L31+K40+G52+K55</f>
        <v>-361384.8081648001</v>
      </c>
      <c r="K58" s="67"/>
      <c r="L58" s="68"/>
    </row>
    <row r="60" spans="1:12" ht="12.75">
      <c r="A60" s="69" t="s">
        <v>43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mergeCells count="93">
    <mergeCell ref="K40:L40"/>
    <mergeCell ref="A6:L6"/>
    <mergeCell ref="K35:L35"/>
    <mergeCell ref="K36:L36"/>
    <mergeCell ref="K37:L37"/>
    <mergeCell ref="K38:L38"/>
    <mergeCell ref="L8:L10"/>
    <mergeCell ref="K34:L34"/>
    <mergeCell ref="K33:L33"/>
    <mergeCell ref="K8:K9"/>
    <mergeCell ref="A7:F7"/>
    <mergeCell ref="F34:G34"/>
    <mergeCell ref="C8:C9"/>
    <mergeCell ref="H34:I34"/>
    <mergeCell ref="G23:I23"/>
    <mergeCell ref="G21:I21"/>
    <mergeCell ref="G22:I22"/>
    <mergeCell ref="G8:I9"/>
    <mergeCell ref="G11:I11"/>
    <mergeCell ref="G12:I12"/>
    <mergeCell ref="A10:J10"/>
    <mergeCell ref="B8:B9"/>
    <mergeCell ref="A8:A9"/>
    <mergeCell ref="F8:F9"/>
    <mergeCell ref="J8:J9"/>
    <mergeCell ref="K39:L39"/>
    <mergeCell ref="F36:G36"/>
    <mergeCell ref="H36:I36"/>
    <mergeCell ref="F35:G35"/>
    <mergeCell ref="H35:I35"/>
    <mergeCell ref="H40:I40"/>
    <mergeCell ref="F40:G40"/>
    <mergeCell ref="G26:I26"/>
    <mergeCell ref="G27:I27"/>
    <mergeCell ref="G28:I28"/>
    <mergeCell ref="G31:I31"/>
    <mergeCell ref="F39:G39"/>
    <mergeCell ref="H33:I33"/>
    <mergeCell ref="F33:G33"/>
    <mergeCell ref="H39:I39"/>
    <mergeCell ref="C57:I58"/>
    <mergeCell ref="J58:L58"/>
    <mergeCell ref="G13:I13"/>
    <mergeCell ref="H37:I37"/>
    <mergeCell ref="H38:I38"/>
    <mergeCell ref="G16:I16"/>
    <mergeCell ref="G17:I17"/>
    <mergeCell ref="G14:I14"/>
    <mergeCell ref="G15:I15"/>
    <mergeCell ref="F37:G37"/>
    <mergeCell ref="G24:I24"/>
    <mergeCell ref="G25:I25"/>
    <mergeCell ref="G30:I30"/>
    <mergeCell ref="F38:G38"/>
    <mergeCell ref="G29:I29"/>
    <mergeCell ref="A60:L60"/>
    <mergeCell ref="A57:B58"/>
    <mergeCell ref="J57:L57"/>
    <mergeCell ref="J1:L1"/>
    <mergeCell ref="J2:L2"/>
    <mergeCell ref="J3:L3"/>
    <mergeCell ref="J4:L4"/>
    <mergeCell ref="G18:I18"/>
    <mergeCell ref="G19:I19"/>
    <mergeCell ref="G20:I20"/>
    <mergeCell ref="G47:L47"/>
    <mergeCell ref="G48:L48"/>
    <mergeCell ref="B46:F46"/>
    <mergeCell ref="G46:L46"/>
    <mergeCell ref="B47:F47"/>
    <mergeCell ref="B48:F48"/>
    <mergeCell ref="B42:F42"/>
    <mergeCell ref="B43:F43"/>
    <mergeCell ref="B44:F44"/>
    <mergeCell ref="B45:F45"/>
    <mergeCell ref="G42:L42"/>
    <mergeCell ref="G43:L43"/>
    <mergeCell ref="G44:L44"/>
    <mergeCell ref="G45:L45"/>
    <mergeCell ref="G49:L49"/>
    <mergeCell ref="G50:L50"/>
    <mergeCell ref="B52:F52"/>
    <mergeCell ref="G52:L52"/>
    <mergeCell ref="B49:F49"/>
    <mergeCell ref="B50:F50"/>
    <mergeCell ref="B51:F51"/>
    <mergeCell ref="G51:L51"/>
    <mergeCell ref="B54:F54"/>
    <mergeCell ref="G54:J54"/>
    <mergeCell ref="K54:L54"/>
    <mergeCell ref="B55:F55"/>
    <mergeCell ref="G55:J55"/>
    <mergeCell ref="K55:L55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4">
      <selection activeCell="M28" sqref="M28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84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f>11991.2+2075.8</f>
        <v>14067</v>
      </c>
      <c r="G11" s="49">
        <f>C11*F11*12</f>
        <v>99594.35999999999</v>
      </c>
      <c r="H11" s="54"/>
      <c r="I11" s="50"/>
      <c r="J11" s="14">
        <f>G11*0.85</f>
        <v>84655.20599999999</v>
      </c>
      <c r="K11" s="14"/>
      <c r="L11" s="14">
        <f aca="true" t="shared" si="1" ref="L11:L30">J11-K11</f>
        <v>84655.20599999999</v>
      </c>
    </row>
    <row r="12" spans="1:12" ht="18.75" customHeight="1">
      <c r="A12" s="1">
        <f aca="true" t="shared" si="2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f>11991.2+2075.8</f>
        <v>14067</v>
      </c>
      <c r="G12" s="49">
        <f aca="true" t="shared" si="3" ref="G12:G28">C12*F12*12</f>
        <v>21910.7592</v>
      </c>
      <c r="H12" s="54"/>
      <c r="I12" s="50"/>
      <c r="J12" s="14">
        <f aca="true" t="shared" si="4" ref="J12:J28">G12*0.85</f>
        <v>18624.14532</v>
      </c>
      <c r="K12" s="14"/>
      <c r="L12" s="14">
        <f t="shared" si="1"/>
        <v>18624.14532</v>
      </c>
    </row>
    <row r="13" spans="1:12" ht="18.75" customHeight="1">
      <c r="A13" s="1">
        <f t="shared" si="2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f>11991.2+2075.8</f>
        <v>14067</v>
      </c>
      <c r="G13" s="49">
        <f t="shared" si="3"/>
        <v>25894.533600000002</v>
      </c>
      <c r="H13" s="54"/>
      <c r="I13" s="50"/>
      <c r="J13" s="14">
        <f t="shared" si="4"/>
        <v>22010.353560000003</v>
      </c>
      <c r="K13" s="14"/>
      <c r="L13" s="14">
        <f t="shared" si="1"/>
        <v>22010.353560000003</v>
      </c>
    </row>
    <row r="14" spans="1:12" ht="26.25" customHeight="1">
      <c r="A14" s="1">
        <f t="shared" si="2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f>11991.2+2075.8</f>
        <v>14067</v>
      </c>
      <c r="G14" s="49">
        <f t="shared" si="3"/>
        <v>71707.9392</v>
      </c>
      <c r="H14" s="54"/>
      <c r="I14" s="50"/>
      <c r="J14" s="14">
        <f t="shared" si="4"/>
        <v>60951.74831999999</v>
      </c>
      <c r="K14" s="14">
        <v>75265.71</v>
      </c>
      <c r="L14" s="14">
        <f t="shared" si="1"/>
        <v>-14313.961680000015</v>
      </c>
    </row>
    <row r="15" spans="1:12" ht="24.75" customHeight="1">
      <c r="A15" s="1">
        <f t="shared" si="2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f aca="true" t="shared" si="5" ref="F15:F28">11991.2+2075.8</f>
        <v>14067</v>
      </c>
      <c r="G15" s="49">
        <f t="shared" si="3"/>
        <v>266912.8848</v>
      </c>
      <c r="H15" s="54"/>
      <c r="I15" s="50"/>
      <c r="J15" s="14">
        <f t="shared" si="4"/>
        <v>226875.95208</v>
      </c>
      <c r="K15" s="14">
        <v>248554.18</v>
      </c>
      <c r="L15" s="14">
        <f t="shared" si="1"/>
        <v>-21678.227920000005</v>
      </c>
    </row>
    <row r="16" spans="1:12" ht="25.5">
      <c r="A16" s="1">
        <f t="shared" si="2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f t="shared" si="5"/>
        <v>14067</v>
      </c>
      <c r="G16" s="49">
        <f t="shared" si="3"/>
        <v>131464.5552</v>
      </c>
      <c r="H16" s="54"/>
      <c r="I16" s="50"/>
      <c r="J16" s="14">
        <f t="shared" si="4"/>
        <v>111744.87192</v>
      </c>
      <c r="K16" s="14">
        <v>122422.2</v>
      </c>
      <c r="L16" s="14">
        <f t="shared" si="1"/>
        <v>-10677.328079999992</v>
      </c>
    </row>
    <row r="17" spans="1:12" ht="22.5" customHeight="1">
      <c r="A17" s="1">
        <f t="shared" si="2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f t="shared" si="5"/>
        <v>14067</v>
      </c>
      <c r="G17" s="49">
        <f t="shared" si="3"/>
        <v>135448.3296</v>
      </c>
      <c r="H17" s="54"/>
      <c r="I17" s="50"/>
      <c r="J17" s="14">
        <f t="shared" si="4"/>
        <v>115131.08016</v>
      </c>
      <c r="K17" s="14">
        <v>104333.38</v>
      </c>
      <c r="L17" s="14">
        <f t="shared" si="1"/>
        <v>10797.700159999993</v>
      </c>
    </row>
    <row r="18" spans="1:12" ht="18.75" customHeight="1">
      <c r="A18" s="1">
        <f t="shared" si="2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f t="shared" si="5"/>
        <v>14067</v>
      </c>
      <c r="G18" s="49">
        <f t="shared" si="3"/>
        <v>639395.7912</v>
      </c>
      <c r="H18" s="54"/>
      <c r="I18" s="50"/>
      <c r="J18" s="14">
        <f t="shared" si="4"/>
        <v>543486.42252</v>
      </c>
      <c r="K18" s="14">
        <v>191280.01</v>
      </c>
      <c r="L18" s="14">
        <f t="shared" si="1"/>
        <v>352206.41252</v>
      </c>
    </row>
    <row r="19" spans="1:12" ht="25.5">
      <c r="A19" s="1">
        <f t="shared" si="2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11991.2</v>
      </c>
      <c r="G19" s="49">
        <f t="shared" si="3"/>
        <v>750495.63264</v>
      </c>
      <c r="H19" s="54"/>
      <c r="I19" s="50"/>
      <c r="J19" s="14">
        <f t="shared" si="4"/>
        <v>637921.287744</v>
      </c>
      <c r="K19" s="14">
        <v>386131.42</v>
      </c>
      <c r="L19" s="14">
        <f t="shared" si="1"/>
        <v>251789.867744</v>
      </c>
    </row>
    <row r="20" spans="1:12" ht="53.25" customHeight="1">
      <c r="A20" s="1">
        <f t="shared" si="2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f t="shared" si="5"/>
        <v>14067</v>
      </c>
      <c r="G20" s="49">
        <f t="shared" si="3"/>
        <v>386426.11679999996</v>
      </c>
      <c r="H20" s="54"/>
      <c r="I20" s="50"/>
      <c r="J20" s="14">
        <f t="shared" si="4"/>
        <v>328462.19927999994</v>
      </c>
      <c r="K20" s="14">
        <v>442176.8</v>
      </c>
      <c r="L20" s="14">
        <f t="shared" si="1"/>
        <v>-113714.60072000005</v>
      </c>
    </row>
    <row r="21" spans="1:12" ht="19.5" customHeight="1">
      <c r="A21" s="1">
        <v>11</v>
      </c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11991.2</v>
      </c>
      <c r="G21" s="49">
        <f>C21*F21*12</f>
        <v>185076.97728000002</v>
      </c>
      <c r="H21" s="54"/>
      <c r="I21" s="50"/>
      <c r="J21" s="14">
        <f t="shared" si="4"/>
        <v>157315.43068800002</v>
      </c>
      <c r="K21" s="14"/>
      <c r="L21" s="14">
        <f t="shared" si="1"/>
        <v>157315.43068800002</v>
      </c>
    </row>
    <row r="22" spans="1:12" ht="24.75" customHeight="1">
      <c r="A22" s="1">
        <v>12</v>
      </c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f t="shared" si="5"/>
        <v>14067</v>
      </c>
      <c r="G22" s="49">
        <f>C22*F22*8</f>
        <v>755589.2112</v>
      </c>
      <c r="H22" s="54"/>
      <c r="I22" s="50"/>
      <c r="J22" s="14">
        <f t="shared" si="4"/>
        <v>642250.82952</v>
      </c>
      <c r="K22" s="14">
        <v>638828.42</v>
      </c>
      <c r="L22" s="14">
        <f t="shared" si="1"/>
        <v>3422.4095199999865</v>
      </c>
    </row>
    <row r="23" spans="1:12" ht="18.75" customHeight="1">
      <c r="A23" s="1">
        <v>13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f t="shared" si="5"/>
        <v>14067</v>
      </c>
      <c r="G23" s="49">
        <f t="shared" si="3"/>
        <v>189229.28399999999</v>
      </c>
      <c r="H23" s="54"/>
      <c r="I23" s="50"/>
      <c r="J23" s="14">
        <f t="shared" si="4"/>
        <v>160844.8914</v>
      </c>
      <c r="K23" s="14">
        <v>225000</v>
      </c>
      <c r="L23" s="14">
        <f t="shared" si="1"/>
        <v>-64155.10860000001</v>
      </c>
    </row>
    <row r="24" spans="1:12" ht="18.75" customHeight="1">
      <c r="A24" s="1">
        <v>14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11991.2</v>
      </c>
      <c r="G24" s="49">
        <f t="shared" si="3"/>
        <v>45844.755840000005</v>
      </c>
      <c r="H24" s="54"/>
      <c r="I24" s="50"/>
      <c r="J24" s="14">
        <f t="shared" si="4"/>
        <v>38968.042464000006</v>
      </c>
      <c r="K24" s="14">
        <v>73312.38</v>
      </c>
      <c r="L24" s="14">
        <f t="shared" si="1"/>
        <v>-34344.337536</v>
      </c>
    </row>
    <row r="25" spans="1:12" ht="27.75" customHeight="1">
      <c r="A25" s="1">
        <v>15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f t="shared" si="5"/>
        <v>14067</v>
      </c>
      <c r="G25" s="49">
        <f t="shared" si="3"/>
        <v>348580.26</v>
      </c>
      <c r="H25" s="54"/>
      <c r="I25" s="50"/>
      <c r="J25" s="14">
        <f t="shared" si="4"/>
        <v>296293.221</v>
      </c>
      <c r="K25" s="14">
        <v>80044.31</v>
      </c>
      <c r="L25" s="14">
        <f t="shared" si="1"/>
        <v>216248.91100000002</v>
      </c>
    </row>
    <row r="26" spans="1:12" ht="38.25">
      <c r="A26" s="1">
        <v>16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f t="shared" si="5"/>
        <v>14067</v>
      </c>
      <c r="G26" s="49">
        <f t="shared" si="3"/>
        <v>73699.82639999999</v>
      </c>
      <c r="H26" s="54"/>
      <c r="I26" s="50"/>
      <c r="J26" s="14">
        <f t="shared" si="4"/>
        <v>62644.85243999999</v>
      </c>
      <c r="K26" s="14">
        <v>16923.65</v>
      </c>
      <c r="L26" s="14">
        <f t="shared" si="1"/>
        <v>45721.20243999999</v>
      </c>
    </row>
    <row r="27" spans="1:12" ht="38.25">
      <c r="A27" s="1">
        <v>17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f t="shared" si="5"/>
        <v>14067</v>
      </c>
      <c r="G27" s="49">
        <f t="shared" si="3"/>
        <v>193213.05839999998</v>
      </c>
      <c r="H27" s="54"/>
      <c r="I27" s="50"/>
      <c r="J27" s="14">
        <f t="shared" si="4"/>
        <v>164231.09963999997</v>
      </c>
      <c r="K27" s="14">
        <v>44367.42</v>
      </c>
      <c r="L27" s="14">
        <f t="shared" si="1"/>
        <v>119863.67963999997</v>
      </c>
    </row>
    <row r="28" spans="1:12" ht="25.5" customHeight="1">
      <c r="A28" s="1">
        <f>A27+1</f>
        <v>18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f t="shared" si="5"/>
        <v>14067</v>
      </c>
      <c r="G28" s="49">
        <f t="shared" si="3"/>
        <v>103578.13440000001</v>
      </c>
      <c r="H28" s="54"/>
      <c r="I28" s="50"/>
      <c r="J28" s="14">
        <f t="shared" si="4"/>
        <v>88041.41424000001</v>
      </c>
      <c r="K28" s="14">
        <v>23784.59</v>
      </c>
      <c r="L28" s="14">
        <f t="shared" si="1"/>
        <v>64256.824240000016</v>
      </c>
    </row>
    <row r="29" spans="1:12" ht="25.5" customHeight="1">
      <c r="A29" s="1">
        <f>A28+1</f>
        <v>19</v>
      </c>
      <c r="B29" s="3" t="s">
        <v>50</v>
      </c>
      <c r="C29" s="2"/>
      <c r="D29" s="4"/>
      <c r="E29" s="2"/>
      <c r="F29" s="12"/>
      <c r="G29" s="49"/>
      <c r="H29" s="54"/>
      <c r="I29" s="50"/>
      <c r="J29" s="14"/>
      <c r="K29" s="14">
        <v>150741.6</v>
      </c>
      <c r="L29" s="14">
        <f t="shared" si="1"/>
        <v>-150741.6</v>
      </c>
    </row>
    <row r="30" spans="1:12" ht="20.25" customHeight="1">
      <c r="A30" s="5"/>
      <c r="B30" s="6" t="s">
        <v>48</v>
      </c>
      <c r="C30" s="23">
        <f>SUM(C11:C28)</f>
        <v>29.4528</v>
      </c>
      <c r="D30" s="23"/>
      <c r="E30" s="23"/>
      <c r="F30" s="24"/>
      <c r="G30" s="44">
        <f>SUM(G11:I28)</f>
        <v>4424062.40976</v>
      </c>
      <c r="H30" s="44"/>
      <c r="I30" s="44"/>
      <c r="J30" s="22">
        <f>SUM(J11:J29)</f>
        <v>3760453.048296</v>
      </c>
      <c r="K30" s="22">
        <f>SUM(K11:K29)</f>
        <v>2823166.07</v>
      </c>
      <c r="L30" s="18">
        <f t="shared" si="1"/>
        <v>937286.978296</v>
      </c>
    </row>
    <row r="32" spans="1:12" ht="21.75" customHeight="1">
      <c r="A32" s="10" t="s">
        <v>0</v>
      </c>
      <c r="B32" s="7" t="s">
        <v>20</v>
      </c>
      <c r="C32" s="15" t="s">
        <v>21</v>
      </c>
      <c r="D32" s="15"/>
      <c r="E32" s="15"/>
      <c r="F32" s="61" t="s">
        <v>22</v>
      </c>
      <c r="G32" s="61"/>
      <c r="H32" s="32" t="s">
        <v>23</v>
      </c>
      <c r="I32" s="33"/>
      <c r="J32" s="7" t="s">
        <v>24</v>
      </c>
      <c r="K32" s="51" t="s">
        <v>25</v>
      </c>
      <c r="L32" s="51"/>
    </row>
    <row r="33" spans="1:12" ht="12.75">
      <c r="A33" s="5">
        <v>1</v>
      </c>
      <c r="B33" s="5" t="s">
        <v>26</v>
      </c>
      <c r="C33" s="16">
        <v>3291921.82</v>
      </c>
      <c r="D33" s="19"/>
      <c r="E33" s="19"/>
      <c r="F33" s="49">
        <f>2554912.53+100000</f>
        <v>2654912.53</v>
      </c>
      <c r="G33" s="50"/>
      <c r="H33" s="49">
        <f aca="true" t="shared" si="6" ref="H33:H38">F33-C33</f>
        <v>-637009.29</v>
      </c>
      <c r="I33" s="50"/>
      <c r="J33" s="13">
        <v>290442.7</v>
      </c>
      <c r="K33" s="49">
        <f aca="true" t="shared" si="7" ref="K33:K39">J33+H33</f>
        <v>-346566.59</v>
      </c>
      <c r="L33" s="50"/>
    </row>
    <row r="34" spans="1:12" ht="12.75">
      <c r="A34" s="5">
        <v>2</v>
      </c>
      <c r="B34" s="5" t="s">
        <v>27</v>
      </c>
      <c r="C34" s="16">
        <v>1361519.1</v>
      </c>
      <c r="D34" s="19"/>
      <c r="E34" s="19"/>
      <c r="F34" s="49">
        <f>1208425.59-100000</f>
        <v>1108425.59</v>
      </c>
      <c r="G34" s="50"/>
      <c r="H34" s="49">
        <f t="shared" si="6"/>
        <v>-253093.51</v>
      </c>
      <c r="I34" s="50"/>
      <c r="J34" s="13">
        <v>232756.6</v>
      </c>
      <c r="K34" s="49">
        <f t="shared" si="7"/>
        <v>-20336.910000000003</v>
      </c>
      <c r="L34" s="50"/>
    </row>
    <row r="35" spans="1:12" ht="12.75">
      <c r="A35" s="5">
        <v>3</v>
      </c>
      <c r="B35" s="5" t="s">
        <v>28</v>
      </c>
      <c r="C35" s="16">
        <v>900612.79</v>
      </c>
      <c r="D35" s="19"/>
      <c r="E35" s="19"/>
      <c r="F35" s="49">
        <v>692142.5</v>
      </c>
      <c r="G35" s="50"/>
      <c r="H35" s="49">
        <f t="shared" si="6"/>
        <v>-208470.29000000004</v>
      </c>
      <c r="I35" s="50"/>
      <c r="J35" s="13">
        <v>162916.83</v>
      </c>
      <c r="K35" s="49">
        <f t="shared" si="7"/>
        <v>-45553.46000000005</v>
      </c>
      <c r="L35" s="50"/>
    </row>
    <row r="36" spans="1:12" ht="12.75">
      <c r="A36" s="5">
        <v>4</v>
      </c>
      <c r="B36" s="5" t="s">
        <v>29</v>
      </c>
      <c r="C36" s="16">
        <v>1102610.78</v>
      </c>
      <c r="D36" s="19"/>
      <c r="E36" s="19"/>
      <c r="F36" s="49">
        <v>918951.85</v>
      </c>
      <c r="G36" s="50"/>
      <c r="H36" s="49">
        <f t="shared" si="6"/>
        <v>-183658.93000000005</v>
      </c>
      <c r="I36" s="50"/>
      <c r="J36" s="13"/>
      <c r="K36" s="49">
        <f t="shared" si="7"/>
        <v>-183658.93000000005</v>
      </c>
      <c r="L36" s="50"/>
    </row>
    <row r="37" spans="1:12" ht="12.75">
      <c r="A37" s="5">
        <v>5</v>
      </c>
      <c r="B37" s="5" t="s">
        <v>30</v>
      </c>
      <c r="C37" s="16">
        <v>1040161.96</v>
      </c>
      <c r="D37" s="19"/>
      <c r="E37" s="19"/>
      <c r="F37" s="49">
        <v>927835.75</v>
      </c>
      <c r="G37" s="50"/>
      <c r="H37" s="49">
        <f t="shared" si="6"/>
        <v>-112326.20999999996</v>
      </c>
      <c r="I37" s="50"/>
      <c r="J37" s="13">
        <v>217396.38</v>
      </c>
      <c r="K37" s="49">
        <f t="shared" si="7"/>
        <v>105070.17000000004</v>
      </c>
      <c r="L37" s="50"/>
    </row>
    <row r="38" spans="1:12" ht="12.75">
      <c r="A38" s="5">
        <v>6</v>
      </c>
      <c r="B38" s="5" t="s">
        <v>51</v>
      </c>
      <c r="C38" s="16">
        <f>215964+37497.74</f>
        <v>253461.74</v>
      </c>
      <c r="D38" s="19"/>
      <c r="E38" s="19"/>
      <c r="F38" s="49">
        <v>281181.65</v>
      </c>
      <c r="G38" s="50"/>
      <c r="H38" s="49">
        <f t="shared" si="6"/>
        <v>27719.910000000033</v>
      </c>
      <c r="I38" s="50"/>
      <c r="J38" s="13"/>
      <c r="K38" s="49">
        <f t="shared" si="7"/>
        <v>27719.910000000033</v>
      </c>
      <c r="L38" s="50"/>
    </row>
    <row r="39" spans="1:12" ht="20.25" customHeight="1">
      <c r="A39" s="5"/>
      <c r="B39" s="8" t="s">
        <v>31</v>
      </c>
      <c r="C39" s="17">
        <f>SUM(C33:C38)</f>
        <v>7950288.19</v>
      </c>
      <c r="D39" s="17"/>
      <c r="E39" s="17"/>
      <c r="F39" s="44">
        <f>SUM(F33:G38)</f>
        <v>6583449.87</v>
      </c>
      <c r="G39" s="44"/>
      <c r="H39" s="46">
        <f>SUM(H33:H38)</f>
        <v>-1366838.3199999998</v>
      </c>
      <c r="I39" s="47"/>
      <c r="J39" s="18">
        <f>SUM(J33:J38)</f>
        <v>903512.51</v>
      </c>
      <c r="K39" s="46">
        <f t="shared" si="7"/>
        <v>-463325.8099999998</v>
      </c>
      <c r="L39" s="47"/>
    </row>
    <row r="41" spans="1:12" ht="34.5" customHeight="1">
      <c r="A41" s="10" t="s">
        <v>0</v>
      </c>
      <c r="B41" s="75" t="s">
        <v>61</v>
      </c>
      <c r="C41" s="75"/>
      <c r="D41" s="75"/>
      <c r="E41" s="75"/>
      <c r="F41" s="75"/>
      <c r="G41" s="76" t="s">
        <v>37</v>
      </c>
      <c r="H41" s="76"/>
      <c r="I41" s="76"/>
      <c r="J41" s="76"/>
      <c r="K41" s="76"/>
      <c r="L41" s="76"/>
    </row>
    <row r="42" spans="1:12" ht="12.75">
      <c r="A42" s="5">
        <v>1</v>
      </c>
      <c r="B42" s="74" t="s">
        <v>36</v>
      </c>
      <c r="C42" s="74"/>
      <c r="D42" s="74"/>
      <c r="E42" s="74"/>
      <c r="F42" s="74"/>
      <c r="G42" s="73">
        <v>-61414.18</v>
      </c>
      <c r="H42" s="73"/>
      <c r="I42" s="73"/>
      <c r="J42" s="73"/>
      <c r="K42" s="73"/>
      <c r="L42" s="73"/>
    </row>
    <row r="43" spans="1:12" ht="12.75">
      <c r="A43" s="5">
        <v>2</v>
      </c>
      <c r="B43" s="74" t="s">
        <v>34</v>
      </c>
      <c r="C43" s="74"/>
      <c r="D43" s="74"/>
      <c r="E43" s="74"/>
      <c r="F43" s="74"/>
      <c r="G43" s="73">
        <v>-5494.31</v>
      </c>
      <c r="H43" s="73"/>
      <c r="I43" s="73"/>
      <c r="J43" s="73"/>
      <c r="K43" s="73"/>
      <c r="L43" s="73"/>
    </row>
    <row r="44" spans="1:12" ht="12.75">
      <c r="A44" s="5">
        <v>3</v>
      </c>
      <c r="B44" s="74" t="s">
        <v>44</v>
      </c>
      <c r="C44" s="74"/>
      <c r="D44" s="74"/>
      <c r="E44" s="74"/>
      <c r="F44" s="74"/>
      <c r="G44" s="73">
        <v>-131299.53</v>
      </c>
      <c r="H44" s="73"/>
      <c r="I44" s="73"/>
      <c r="J44" s="73"/>
      <c r="K44" s="73"/>
      <c r="L44" s="73"/>
    </row>
    <row r="45" spans="1:12" ht="12.75">
      <c r="A45" s="5">
        <v>4</v>
      </c>
      <c r="B45" s="74" t="s">
        <v>35</v>
      </c>
      <c r="C45" s="74"/>
      <c r="D45" s="74"/>
      <c r="E45" s="74"/>
      <c r="F45" s="74"/>
      <c r="G45" s="73">
        <v>-23980.54</v>
      </c>
      <c r="H45" s="73"/>
      <c r="I45" s="73"/>
      <c r="J45" s="73"/>
      <c r="K45" s="73"/>
      <c r="L45" s="73"/>
    </row>
    <row r="46" spans="1:12" ht="12.75">
      <c r="A46" s="5">
        <v>5</v>
      </c>
      <c r="B46" s="74" t="s">
        <v>46</v>
      </c>
      <c r="C46" s="74"/>
      <c r="D46" s="74"/>
      <c r="E46" s="74"/>
      <c r="F46" s="74"/>
      <c r="G46" s="73">
        <v>-10059.7</v>
      </c>
      <c r="H46" s="73"/>
      <c r="I46" s="73"/>
      <c r="J46" s="73"/>
      <c r="K46" s="73"/>
      <c r="L46" s="73"/>
    </row>
    <row r="47" spans="1:12" ht="12.75">
      <c r="A47" s="5">
        <v>6</v>
      </c>
      <c r="B47" s="74" t="s">
        <v>45</v>
      </c>
      <c r="C47" s="74"/>
      <c r="D47" s="74"/>
      <c r="E47" s="74"/>
      <c r="F47" s="74"/>
      <c r="G47" s="73">
        <v>-6826.66</v>
      </c>
      <c r="H47" s="73"/>
      <c r="I47" s="73"/>
      <c r="J47" s="73"/>
      <c r="K47" s="73"/>
      <c r="L47" s="73"/>
    </row>
    <row r="48" spans="1:12" ht="12.75">
      <c r="A48" s="5">
        <v>7</v>
      </c>
      <c r="B48" s="74" t="s">
        <v>83</v>
      </c>
      <c r="C48" s="74"/>
      <c r="D48" s="74"/>
      <c r="E48" s="74"/>
      <c r="F48" s="74"/>
      <c r="G48" s="73">
        <v>-19355.66</v>
      </c>
      <c r="H48" s="73"/>
      <c r="I48" s="73"/>
      <c r="J48" s="73"/>
      <c r="K48" s="73"/>
      <c r="L48" s="73"/>
    </row>
    <row r="49" spans="1:12" ht="12.75">
      <c r="A49" s="5">
        <v>8</v>
      </c>
      <c r="B49" s="74" t="s">
        <v>38</v>
      </c>
      <c r="C49" s="74"/>
      <c r="D49" s="74"/>
      <c r="E49" s="74"/>
      <c r="F49" s="74"/>
      <c r="G49" s="73">
        <v>-18858.31</v>
      </c>
      <c r="H49" s="73"/>
      <c r="I49" s="73"/>
      <c r="J49" s="73"/>
      <c r="K49" s="73"/>
      <c r="L49" s="73"/>
    </row>
    <row r="50" spans="1:12" ht="12.75">
      <c r="A50" s="5">
        <v>9</v>
      </c>
      <c r="B50" s="77" t="s">
        <v>79</v>
      </c>
      <c r="C50" s="78"/>
      <c r="D50" s="78"/>
      <c r="E50" s="78"/>
      <c r="F50" s="79"/>
      <c r="G50" s="49">
        <v>-385537.72</v>
      </c>
      <c r="H50" s="54"/>
      <c r="I50" s="54"/>
      <c r="J50" s="54"/>
      <c r="K50" s="54"/>
      <c r="L50" s="50"/>
    </row>
    <row r="51" spans="1:12" ht="24.75" customHeight="1">
      <c r="A51" s="5"/>
      <c r="B51" s="39" t="s">
        <v>31</v>
      </c>
      <c r="C51" s="39"/>
      <c r="D51" s="39"/>
      <c r="E51" s="39"/>
      <c r="F51" s="39"/>
      <c r="G51" s="44">
        <f>SUM(G42:G50)</f>
        <v>-662826.6100000001</v>
      </c>
      <c r="H51" s="44"/>
      <c r="I51" s="44"/>
      <c r="J51" s="44"/>
      <c r="K51" s="44"/>
      <c r="L51" s="44"/>
    </row>
    <row r="52" spans="1:12" ht="14.25" customHeight="1">
      <c r="A52" s="25"/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</row>
    <row r="53" spans="1:12" ht="26.25" customHeight="1">
      <c r="A53" s="10" t="s">
        <v>0</v>
      </c>
      <c r="B53" s="39" t="s">
        <v>81</v>
      </c>
      <c r="C53" s="39"/>
      <c r="D53" s="39"/>
      <c r="E53" s="39"/>
      <c r="F53" s="39"/>
      <c r="G53" s="40" t="s">
        <v>82</v>
      </c>
      <c r="H53" s="41"/>
      <c r="I53" s="41"/>
      <c r="J53" s="42"/>
      <c r="K53" s="43" t="s">
        <v>33</v>
      </c>
      <c r="L53" s="43"/>
    </row>
    <row r="54" spans="1:12" ht="24.75" customHeight="1">
      <c r="A54" s="5">
        <v>1</v>
      </c>
      <c r="B54" s="44">
        <v>109311.03</v>
      </c>
      <c r="C54" s="44"/>
      <c r="D54" s="44"/>
      <c r="E54" s="44"/>
      <c r="F54" s="44"/>
      <c r="G54" s="44">
        <v>38126.58</v>
      </c>
      <c r="H54" s="44"/>
      <c r="I54" s="44"/>
      <c r="J54" s="44"/>
      <c r="K54" s="45">
        <f>G54-B54</f>
        <v>-71184.45</v>
      </c>
      <c r="L54" s="43"/>
    </row>
    <row r="56" spans="1:12" ht="20.25" customHeight="1">
      <c r="A56" s="70" t="s">
        <v>39</v>
      </c>
      <c r="B56" s="63"/>
      <c r="C56" s="62"/>
      <c r="D56" s="62"/>
      <c r="E56" s="62"/>
      <c r="F56" s="62"/>
      <c r="G56" s="62"/>
      <c r="H56" s="62"/>
      <c r="I56" s="63"/>
      <c r="J56" s="72" t="s">
        <v>33</v>
      </c>
      <c r="K56" s="72"/>
      <c r="L56" s="72"/>
    </row>
    <row r="57" spans="1:12" ht="24.75" customHeight="1">
      <c r="A57" s="71"/>
      <c r="B57" s="65"/>
      <c r="C57" s="64"/>
      <c r="D57" s="64"/>
      <c r="E57" s="64"/>
      <c r="F57" s="64"/>
      <c r="G57" s="64"/>
      <c r="H57" s="64"/>
      <c r="I57" s="65"/>
      <c r="J57" s="66">
        <f>L30+K39+G51+K54</f>
        <v>-260049.8917039999</v>
      </c>
      <c r="K57" s="67"/>
      <c r="L57" s="68"/>
    </row>
    <row r="59" spans="1:12" ht="12.75">
      <c r="A59" s="69" t="s">
        <v>43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</sheetData>
  <mergeCells count="92">
    <mergeCell ref="K39:L39"/>
    <mergeCell ref="A6:L6"/>
    <mergeCell ref="K34:L34"/>
    <mergeCell ref="K35:L35"/>
    <mergeCell ref="K36:L36"/>
    <mergeCell ref="K37:L37"/>
    <mergeCell ref="L8:L10"/>
    <mergeCell ref="K33:L33"/>
    <mergeCell ref="K32:L32"/>
    <mergeCell ref="K8:K9"/>
    <mergeCell ref="A7:F7"/>
    <mergeCell ref="F33:G33"/>
    <mergeCell ref="C8:C9"/>
    <mergeCell ref="H33:I33"/>
    <mergeCell ref="G23:I23"/>
    <mergeCell ref="G21:I21"/>
    <mergeCell ref="G22:I22"/>
    <mergeCell ref="G8:I9"/>
    <mergeCell ref="G11:I11"/>
    <mergeCell ref="G12:I12"/>
    <mergeCell ref="A10:J10"/>
    <mergeCell ref="B8:B9"/>
    <mergeCell ref="A8:A9"/>
    <mergeCell ref="F8:F9"/>
    <mergeCell ref="J8:J9"/>
    <mergeCell ref="K38:L38"/>
    <mergeCell ref="F35:G35"/>
    <mergeCell ref="H35:I35"/>
    <mergeCell ref="F34:G34"/>
    <mergeCell ref="H34:I34"/>
    <mergeCell ref="H39:I39"/>
    <mergeCell ref="F39:G39"/>
    <mergeCell ref="G26:I26"/>
    <mergeCell ref="G27:I27"/>
    <mergeCell ref="G28:I28"/>
    <mergeCell ref="G30:I30"/>
    <mergeCell ref="F38:G38"/>
    <mergeCell ref="H32:I32"/>
    <mergeCell ref="F32:G32"/>
    <mergeCell ref="G13:I13"/>
    <mergeCell ref="H36:I36"/>
    <mergeCell ref="H37:I37"/>
    <mergeCell ref="G16:I16"/>
    <mergeCell ref="G17:I17"/>
    <mergeCell ref="G14:I14"/>
    <mergeCell ref="G15:I15"/>
    <mergeCell ref="F36:G36"/>
    <mergeCell ref="F37:G37"/>
    <mergeCell ref="G29:I29"/>
    <mergeCell ref="G18:I18"/>
    <mergeCell ref="G19:I19"/>
    <mergeCell ref="G20:I20"/>
    <mergeCell ref="H38:I38"/>
    <mergeCell ref="G24:I24"/>
    <mergeCell ref="G25:I25"/>
    <mergeCell ref="J1:L1"/>
    <mergeCell ref="J2:L2"/>
    <mergeCell ref="J3:L3"/>
    <mergeCell ref="J4:L4"/>
    <mergeCell ref="A59:L59"/>
    <mergeCell ref="A56:B57"/>
    <mergeCell ref="J56:L56"/>
    <mergeCell ref="C56:I57"/>
    <mergeCell ref="J57:L57"/>
    <mergeCell ref="B41:F41"/>
    <mergeCell ref="G41:L41"/>
    <mergeCell ref="B42:F42"/>
    <mergeCell ref="G42:L42"/>
    <mergeCell ref="B43:F43"/>
    <mergeCell ref="G43:L43"/>
    <mergeCell ref="B44:F44"/>
    <mergeCell ref="G44:L44"/>
    <mergeCell ref="B45:F45"/>
    <mergeCell ref="G45:L45"/>
    <mergeCell ref="B46:F46"/>
    <mergeCell ref="G46:L46"/>
    <mergeCell ref="B47:F47"/>
    <mergeCell ref="G47:L47"/>
    <mergeCell ref="B48:F48"/>
    <mergeCell ref="G48:L48"/>
    <mergeCell ref="B49:F49"/>
    <mergeCell ref="G49:L49"/>
    <mergeCell ref="B51:F51"/>
    <mergeCell ref="G51:L51"/>
    <mergeCell ref="B50:F50"/>
    <mergeCell ref="G50:L50"/>
    <mergeCell ref="B53:F53"/>
    <mergeCell ref="G53:J53"/>
    <mergeCell ref="K53:L53"/>
    <mergeCell ref="B54:F54"/>
    <mergeCell ref="G54:J54"/>
    <mergeCell ref="K54:L54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40">
      <selection activeCell="T20" sqref="T20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85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f>38745.6+3271.7</f>
        <v>42017.299999999996</v>
      </c>
      <c r="G11" s="49">
        <f aca="true" t="shared" si="1" ref="G11:G19">C11*F11*12</f>
        <v>297482.48399999994</v>
      </c>
      <c r="H11" s="54"/>
      <c r="I11" s="50"/>
      <c r="J11" s="14">
        <f aca="true" t="shared" si="2" ref="J11:J28">G11*0.85</f>
        <v>252860.11139999994</v>
      </c>
      <c r="K11" s="14"/>
      <c r="L11" s="14">
        <f aca="true" t="shared" si="3" ref="L11:L29">J11-K11</f>
        <v>252860.11139999994</v>
      </c>
    </row>
    <row r="12" spans="1:12" ht="18.75" customHeight="1">
      <c r="A12" s="1">
        <f aca="true" t="shared" si="4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f aca="true" t="shared" si="5" ref="F12:F28">38745.6+3271.7</f>
        <v>42017.299999999996</v>
      </c>
      <c r="G12" s="49">
        <f t="shared" si="1"/>
        <v>65446.146479999996</v>
      </c>
      <c r="H12" s="54"/>
      <c r="I12" s="50"/>
      <c r="J12" s="14">
        <f t="shared" si="2"/>
        <v>55629.22450799999</v>
      </c>
      <c r="K12" s="14"/>
      <c r="L12" s="14">
        <f t="shared" si="3"/>
        <v>55629.22450799999</v>
      </c>
    </row>
    <row r="13" spans="1:12" ht="18.75" customHeight="1">
      <c r="A13" s="1">
        <f t="shared" si="4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f t="shared" si="5"/>
        <v>42017.299999999996</v>
      </c>
      <c r="G13" s="49">
        <f t="shared" si="1"/>
        <v>77345.44584</v>
      </c>
      <c r="H13" s="54"/>
      <c r="I13" s="50"/>
      <c r="J13" s="14">
        <f t="shared" si="2"/>
        <v>65743.628964</v>
      </c>
      <c r="K13" s="14"/>
      <c r="L13" s="14">
        <f t="shared" si="3"/>
        <v>65743.628964</v>
      </c>
    </row>
    <row r="14" spans="1:12" ht="26.25" customHeight="1">
      <c r="A14" s="1">
        <f t="shared" si="4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f t="shared" si="5"/>
        <v>42017.299999999996</v>
      </c>
      <c r="G14" s="49">
        <f t="shared" si="1"/>
        <v>214187.38847999997</v>
      </c>
      <c r="H14" s="54"/>
      <c r="I14" s="50"/>
      <c r="J14" s="14">
        <f t="shared" si="2"/>
        <v>182059.28020799995</v>
      </c>
      <c r="K14" s="14">
        <v>243196.26</v>
      </c>
      <c r="L14" s="14">
        <f t="shared" si="3"/>
        <v>-61136.97979200006</v>
      </c>
    </row>
    <row r="15" spans="1:12" ht="24.75" customHeight="1">
      <c r="A15" s="1">
        <f t="shared" si="4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f t="shared" si="5"/>
        <v>42017.299999999996</v>
      </c>
      <c r="G15" s="49">
        <f t="shared" si="1"/>
        <v>797253.05712</v>
      </c>
      <c r="H15" s="54"/>
      <c r="I15" s="50"/>
      <c r="J15" s="14">
        <f t="shared" si="2"/>
        <v>677665.098552</v>
      </c>
      <c r="K15" s="14">
        <v>803120.68</v>
      </c>
      <c r="L15" s="14">
        <f t="shared" si="3"/>
        <v>-125455.58144800004</v>
      </c>
    </row>
    <row r="16" spans="1:12" ht="25.5">
      <c r="A16" s="1">
        <f t="shared" si="4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f t="shared" si="5"/>
        <v>42017.299999999996</v>
      </c>
      <c r="G16" s="49">
        <f t="shared" si="1"/>
        <v>392676.87888</v>
      </c>
      <c r="H16" s="54"/>
      <c r="I16" s="50"/>
      <c r="J16" s="14">
        <f t="shared" si="2"/>
        <v>333775.34704799997</v>
      </c>
      <c r="K16" s="14">
        <v>395566.91</v>
      </c>
      <c r="L16" s="14">
        <f t="shared" si="3"/>
        <v>-61791.56295200001</v>
      </c>
    </row>
    <row r="17" spans="1:12" ht="22.5" customHeight="1">
      <c r="A17" s="1">
        <f t="shared" si="4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f t="shared" si="5"/>
        <v>42017.299999999996</v>
      </c>
      <c r="G17" s="49">
        <f t="shared" si="1"/>
        <v>404576.17824</v>
      </c>
      <c r="H17" s="54"/>
      <c r="I17" s="50"/>
      <c r="J17" s="14">
        <f t="shared" si="2"/>
        <v>343889.751504</v>
      </c>
      <c r="K17" s="14">
        <v>337118.83</v>
      </c>
      <c r="L17" s="14">
        <f t="shared" si="3"/>
        <v>6770.921503999969</v>
      </c>
    </row>
    <row r="18" spans="1:12" ht="18.75" customHeight="1">
      <c r="A18" s="1">
        <f t="shared" si="4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f t="shared" si="5"/>
        <v>42017.299999999996</v>
      </c>
      <c r="G18" s="49">
        <f>C18*F18*12</f>
        <v>1909837.5472799996</v>
      </c>
      <c r="H18" s="54"/>
      <c r="I18" s="50"/>
      <c r="J18" s="14">
        <f t="shared" si="2"/>
        <v>1623361.9151879996</v>
      </c>
      <c r="K18" s="14">
        <f>577289.16+550000</f>
        <v>1127289.1600000001</v>
      </c>
      <c r="L18" s="14">
        <f t="shared" si="3"/>
        <v>496072.75518799946</v>
      </c>
    </row>
    <row r="19" spans="1:12" ht="25.5">
      <c r="A19" s="1">
        <f t="shared" si="4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38745.6</v>
      </c>
      <c r="G19" s="49">
        <f t="shared" si="1"/>
        <v>2424978.6163199996</v>
      </c>
      <c r="H19" s="54"/>
      <c r="I19" s="50"/>
      <c r="J19" s="14">
        <f t="shared" si="2"/>
        <v>2061231.8238719995</v>
      </c>
      <c r="K19" s="14">
        <v>1755917.14</v>
      </c>
      <c r="L19" s="14">
        <f t="shared" si="3"/>
        <v>305314.6838719996</v>
      </c>
    </row>
    <row r="20" spans="1:12" ht="53.25" customHeight="1">
      <c r="A20" s="1">
        <f t="shared" si="4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f t="shared" si="5"/>
        <v>42017.299999999996</v>
      </c>
      <c r="G20" s="49">
        <f>C20*F20*12</f>
        <v>1154232.0379199998</v>
      </c>
      <c r="H20" s="54"/>
      <c r="I20" s="50"/>
      <c r="J20" s="14">
        <f t="shared" si="2"/>
        <v>981097.2322319997</v>
      </c>
      <c r="K20" s="14">
        <v>1149728.87</v>
      </c>
      <c r="L20" s="14">
        <f t="shared" si="3"/>
        <v>-168631.63776800036</v>
      </c>
    </row>
    <row r="21" spans="1:12" ht="24.75" customHeight="1">
      <c r="A21" s="1">
        <v>11</v>
      </c>
      <c r="B21" s="3" t="s">
        <v>70</v>
      </c>
      <c r="C21" s="2">
        <f t="shared" si="0"/>
        <v>6.7142</v>
      </c>
      <c r="D21" s="4">
        <v>5.69</v>
      </c>
      <c r="E21" s="2">
        <v>1.18</v>
      </c>
      <c r="F21" s="12">
        <f t="shared" si="5"/>
        <v>42017.299999999996</v>
      </c>
      <c r="G21" s="49">
        <f>C21*F21*9</f>
        <v>2539013.0009399997</v>
      </c>
      <c r="H21" s="54"/>
      <c r="I21" s="50"/>
      <c r="J21" s="14">
        <f t="shared" si="2"/>
        <v>2158161.0507989996</v>
      </c>
      <c r="K21" s="14">
        <f>971838+500000</f>
        <v>1471838</v>
      </c>
      <c r="L21" s="14">
        <f t="shared" si="3"/>
        <v>686323.0507989996</v>
      </c>
    </row>
    <row r="22" spans="1:12" ht="18.75" customHeight="1">
      <c r="A22" s="1">
        <v>12</v>
      </c>
      <c r="B22" s="3" t="s">
        <v>15</v>
      </c>
      <c r="C22" s="2">
        <f t="shared" si="0"/>
        <v>1.121</v>
      </c>
      <c r="D22" s="4">
        <v>0.95</v>
      </c>
      <c r="E22" s="2">
        <v>1.18</v>
      </c>
      <c r="F22" s="12">
        <f t="shared" si="5"/>
        <v>42017.299999999996</v>
      </c>
      <c r="G22" s="49">
        <f aca="true" t="shared" si="6" ref="G22:G27">C22*F22*12</f>
        <v>565216.7196</v>
      </c>
      <c r="H22" s="54"/>
      <c r="I22" s="50"/>
      <c r="J22" s="14">
        <f t="shared" si="2"/>
        <v>480434.21166</v>
      </c>
      <c r="K22" s="14">
        <v>412500</v>
      </c>
      <c r="L22" s="14">
        <f t="shared" si="3"/>
        <v>67934.21165999997</v>
      </c>
    </row>
    <row r="23" spans="1:12" ht="18.75" customHeight="1">
      <c r="A23" s="1">
        <v>13</v>
      </c>
      <c r="B23" s="3" t="s">
        <v>80</v>
      </c>
      <c r="C23" s="2">
        <f t="shared" si="0"/>
        <v>0.3186</v>
      </c>
      <c r="D23" s="4">
        <v>0.27</v>
      </c>
      <c r="E23" s="2">
        <v>1.18</v>
      </c>
      <c r="F23" s="12">
        <v>38745.6</v>
      </c>
      <c r="G23" s="49">
        <f t="shared" si="6"/>
        <v>148132.17792</v>
      </c>
      <c r="H23" s="54"/>
      <c r="I23" s="50"/>
      <c r="J23" s="14">
        <f t="shared" si="2"/>
        <v>125912.35123199999</v>
      </c>
      <c r="K23" s="14">
        <v>236884.72</v>
      </c>
      <c r="L23" s="14">
        <f t="shared" si="3"/>
        <v>-110972.36876800001</v>
      </c>
    </row>
    <row r="24" spans="1:12" ht="27.75" customHeight="1">
      <c r="A24" s="1">
        <v>14</v>
      </c>
      <c r="B24" s="3" t="s">
        <v>16</v>
      </c>
      <c r="C24" s="2">
        <f t="shared" si="0"/>
        <v>2.065</v>
      </c>
      <c r="D24" s="4">
        <v>1.75</v>
      </c>
      <c r="E24" s="2">
        <v>1.18</v>
      </c>
      <c r="F24" s="12">
        <f t="shared" si="5"/>
        <v>42017.299999999996</v>
      </c>
      <c r="G24" s="49">
        <f t="shared" si="6"/>
        <v>1041188.6939999998</v>
      </c>
      <c r="H24" s="54"/>
      <c r="I24" s="50"/>
      <c r="J24" s="14">
        <f t="shared" si="2"/>
        <v>885010.3898999998</v>
      </c>
      <c r="K24" s="14">
        <v>258636.72</v>
      </c>
      <c r="L24" s="14">
        <f t="shared" si="3"/>
        <v>626373.6698999999</v>
      </c>
    </row>
    <row r="25" spans="1:12" ht="38.25">
      <c r="A25" s="1">
        <v>15</v>
      </c>
      <c r="B25" s="3" t="s">
        <v>17</v>
      </c>
      <c r="C25" s="2">
        <f t="shared" si="0"/>
        <v>0.4366</v>
      </c>
      <c r="D25" s="4">
        <f>0.09+0.28</f>
        <v>0.37</v>
      </c>
      <c r="E25" s="2">
        <v>1.18</v>
      </c>
      <c r="F25" s="12">
        <f t="shared" si="5"/>
        <v>42017.299999999996</v>
      </c>
      <c r="G25" s="49">
        <f t="shared" si="6"/>
        <v>220137.03815999994</v>
      </c>
      <c r="H25" s="54"/>
      <c r="I25" s="50"/>
      <c r="J25" s="14">
        <f t="shared" si="2"/>
        <v>187116.48243599993</v>
      </c>
      <c r="K25" s="14">
        <v>54683.19</v>
      </c>
      <c r="L25" s="14">
        <f t="shared" si="3"/>
        <v>132433.29243599993</v>
      </c>
    </row>
    <row r="26" spans="1:12" ht="38.25">
      <c r="A26" s="1">
        <v>16</v>
      </c>
      <c r="B26" s="3" t="s">
        <v>18</v>
      </c>
      <c r="C26" s="2">
        <f t="shared" si="0"/>
        <v>1.1445999999999998</v>
      </c>
      <c r="D26" s="4">
        <v>0.97</v>
      </c>
      <c r="E26" s="2">
        <v>1.18</v>
      </c>
      <c r="F26" s="12">
        <f t="shared" si="5"/>
        <v>42017.299999999996</v>
      </c>
      <c r="G26" s="49">
        <f t="shared" si="6"/>
        <v>577116.0189599999</v>
      </c>
      <c r="H26" s="54"/>
      <c r="I26" s="50"/>
      <c r="J26" s="14">
        <f t="shared" si="2"/>
        <v>490548.6161159999</v>
      </c>
      <c r="K26" s="14">
        <v>143358.64</v>
      </c>
      <c r="L26" s="14">
        <f t="shared" si="3"/>
        <v>347189.97611599986</v>
      </c>
    </row>
    <row r="27" spans="1:12" ht="25.5" customHeight="1">
      <c r="A27" s="1">
        <f>A26+1</f>
        <v>17</v>
      </c>
      <c r="B27" s="3" t="s">
        <v>19</v>
      </c>
      <c r="C27" s="2">
        <f t="shared" si="0"/>
        <v>0.6136</v>
      </c>
      <c r="D27" s="4">
        <v>0.52</v>
      </c>
      <c r="E27" s="2">
        <v>1.18</v>
      </c>
      <c r="F27" s="12">
        <f t="shared" si="5"/>
        <v>42017.299999999996</v>
      </c>
      <c r="G27" s="49">
        <f t="shared" si="6"/>
        <v>309381.78336</v>
      </c>
      <c r="H27" s="54"/>
      <c r="I27" s="50"/>
      <c r="J27" s="14">
        <f t="shared" si="2"/>
        <v>262974.515856</v>
      </c>
      <c r="K27" s="14">
        <v>76852.06</v>
      </c>
      <c r="L27" s="14">
        <f t="shared" si="3"/>
        <v>186122.45585600002</v>
      </c>
    </row>
    <row r="28" spans="1:12" ht="25.5" customHeight="1">
      <c r="A28" s="1">
        <f>A27+1</f>
        <v>18</v>
      </c>
      <c r="B28" s="3" t="s">
        <v>69</v>
      </c>
      <c r="C28" s="2">
        <f t="shared" si="0"/>
        <v>2.4779999999999998</v>
      </c>
      <c r="D28" s="4">
        <v>2.1</v>
      </c>
      <c r="E28" s="2">
        <v>1.18</v>
      </c>
      <c r="F28" s="12">
        <f t="shared" si="5"/>
        <v>42017.299999999996</v>
      </c>
      <c r="G28" s="49">
        <f>C28*F28*9</f>
        <v>937069.8245999998</v>
      </c>
      <c r="H28" s="54"/>
      <c r="I28" s="50"/>
      <c r="J28" s="14">
        <f t="shared" si="2"/>
        <v>796509.3509099998</v>
      </c>
      <c r="K28" s="14"/>
      <c r="L28" s="14">
        <f t="shared" si="3"/>
        <v>796509.3509099998</v>
      </c>
    </row>
    <row r="29" spans="1:12" ht="20.25" customHeight="1">
      <c r="A29" s="5"/>
      <c r="B29" s="6" t="s">
        <v>48</v>
      </c>
      <c r="C29" s="23">
        <f>SUM(C11:C28)</f>
        <v>30.644599999999997</v>
      </c>
      <c r="D29" s="23"/>
      <c r="E29" s="23"/>
      <c r="F29" s="24"/>
      <c r="G29" s="44">
        <f>SUM(G11:I27)</f>
        <v>13138201.213499999</v>
      </c>
      <c r="H29" s="44"/>
      <c r="I29" s="44"/>
      <c r="J29" s="22">
        <f>SUM(J11:J28)</f>
        <v>11963980.382384999</v>
      </c>
      <c r="K29" s="22">
        <f>SUM(K11:K28)</f>
        <v>8466691.180000002</v>
      </c>
      <c r="L29" s="18">
        <f t="shared" si="3"/>
        <v>3497289.202384997</v>
      </c>
    </row>
    <row r="31" spans="1:12" ht="21.75" customHeight="1">
      <c r="A31" s="10" t="s">
        <v>0</v>
      </c>
      <c r="B31" s="7" t="s">
        <v>20</v>
      </c>
      <c r="C31" s="15" t="s">
        <v>21</v>
      </c>
      <c r="D31" s="15"/>
      <c r="E31" s="15"/>
      <c r="F31" s="61" t="s">
        <v>22</v>
      </c>
      <c r="G31" s="61"/>
      <c r="H31" s="32" t="s">
        <v>23</v>
      </c>
      <c r="I31" s="33"/>
      <c r="J31" s="7" t="s">
        <v>24</v>
      </c>
      <c r="K31" s="51" t="s">
        <v>25</v>
      </c>
      <c r="L31" s="51"/>
    </row>
    <row r="32" spans="1:12" ht="12.75">
      <c r="A32" s="5">
        <v>1</v>
      </c>
      <c r="B32" s="5" t="s">
        <v>26</v>
      </c>
      <c r="C32" s="16">
        <f>5056157.29-100000+1000000</f>
        <v>5956157.29</v>
      </c>
      <c r="D32" s="19"/>
      <c r="E32" s="19"/>
      <c r="F32" s="54">
        <v>6883280.11</v>
      </c>
      <c r="G32" s="50"/>
      <c r="H32" s="49">
        <f aca="true" t="shared" si="7" ref="H32:H37">F32-C32</f>
        <v>927122.8200000003</v>
      </c>
      <c r="I32" s="50"/>
      <c r="J32" s="13">
        <v>143167.98</v>
      </c>
      <c r="K32" s="49">
        <f aca="true" t="shared" si="8" ref="K32:K38">J32+H32</f>
        <v>1070290.8000000003</v>
      </c>
      <c r="L32" s="50"/>
    </row>
    <row r="33" spans="1:12" ht="12.75">
      <c r="A33" s="5">
        <v>2</v>
      </c>
      <c r="B33" s="5" t="s">
        <v>27</v>
      </c>
      <c r="C33" s="16">
        <f>3226183.25+100000</f>
        <v>3326183.25</v>
      </c>
      <c r="D33" s="19"/>
      <c r="E33" s="19"/>
      <c r="F33" s="54">
        <v>3225196.76</v>
      </c>
      <c r="G33" s="50"/>
      <c r="H33" s="49">
        <f t="shared" si="7"/>
        <v>-100986.49000000022</v>
      </c>
      <c r="I33" s="50"/>
      <c r="J33" s="13">
        <v>61927.91</v>
      </c>
      <c r="K33" s="49">
        <f t="shared" si="8"/>
        <v>-39058.58000000022</v>
      </c>
      <c r="L33" s="50"/>
    </row>
    <row r="34" spans="1:12" ht="12.75">
      <c r="A34" s="5">
        <v>3</v>
      </c>
      <c r="B34" s="5" t="s">
        <v>28</v>
      </c>
      <c r="C34" s="16">
        <v>2275477.58</v>
      </c>
      <c r="D34" s="19"/>
      <c r="E34" s="19"/>
      <c r="F34" s="54">
        <v>1820609.36</v>
      </c>
      <c r="G34" s="50"/>
      <c r="H34" s="49">
        <f t="shared" si="7"/>
        <v>-454868.22</v>
      </c>
      <c r="I34" s="50"/>
      <c r="J34" s="13">
        <v>74750.72</v>
      </c>
      <c r="K34" s="49">
        <f t="shared" si="8"/>
        <v>-380117.5</v>
      </c>
      <c r="L34" s="50"/>
    </row>
    <row r="35" spans="1:12" ht="12.75">
      <c r="A35" s="5">
        <v>4</v>
      </c>
      <c r="B35" s="5" t="s">
        <v>29</v>
      </c>
      <c r="C35" s="16">
        <v>2827911.73</v>
      </c>
      <c r="D35" s="19"/>
      <c r="E35" s="19"/>
      <c r="F35" s="54">
        <v>2408463.22</v>
      </c>
      <c r="G35" s="50"/>
      <c r="H35" s="49">
        <f t="shared" si="7"/>
        <v>-419448.5099999998</v>
      </c>
      <c r="I35" s="50"/>
      <c r="J35" s="13"/>
      <c r="K35" s="49">
        <f t="shared" si="8"/>
        <v>-419448.5099999998</v>
      </c>
      <c r="L35" s="50"/>
    </row>
    <row r="36" spans="1:12" ht="12.75">
      <c r="A36" s="5">
        <v>5</v>
      </c>
      <c r="B36" s="5" t="s">
        <v>30</v>
      </c>
      <c r="C36" s="16">
        <v>3642628.14</v>
      </c>
      <c r="D36" s="19"/>
      <c r="E36" s="19"/>
      <c r="F36" s="54">
        <v>3488097.15</v>
      </c>
      <c r="G36" s="50"/>
      <c r="H36" s="49">
        <f t="shared" si="7"/>
        <v>-154530.99000000022</v>
      </c>
      <c r="I36" s="50"/>
      <c r="J36" s="13">
        <f>156781.85+111273.63</f>
        <v>268055.48</v>
      </c>
      <c r="K36" s="49">
        <f t="shared" si="8"/>
        <v>113524.48999999976</v>
      </c>
      <c r="L36" s="50"/>
    </row>
    <row r="37" spans="1:12" ht="12.75">
      <c r="A37" s="5">
        <v>6</v>
      </c>
      <c r="B37" s="5" t="s">
        <v>51</v>
      </c>
      <c r="C37" s="16">
        <v>269965</v>
      </c>
      <c r="D37" s="19"/>
      <c r="E37" s="19"/>
      <c r="F37" s="49">
        <v>564339.17</v>
      </c>
      <c r="G37" s="50"/>
      <c r="H37" s="49">
        <f t="shared" si="7"/>
        <v>294374.17000000004</v>
      </c>
      <c r="I37" s="50"/>
      <c r="J37" s="13"/>
      <c r="K37" s="49">
        <f t="shared" si="8"/>
        <v>294374.17000000004</v>
      </c>
      <c r="L37" s="50"/>
    </row>
    <row r="38" spans="1:12" ht="20.25" customHeight="1">
      <c r="A38" s="5"/>
      <c r="B38" s="8" t="s">
        <v>31</v>
      </c>
      <c r="C38" s="17">
        <f>SUM(C32:C37)</f>
        <v>18298322.99</v>
      </c>
      <c r="D38" s="17"/>
      <c r="E38" s="17"/>
      <c r="F38" s="44">
        <f>SUM(F32:G37)</f>
        <v>18389985.770000003</v>
      </c>
      <c r="G38" s="44"/>
      <c r="H38" s="46">
        <f>SUM(H32:H37)</f>
        <v>91662.78000000014</v>
      </c>
      <c r="I38" s="47"/>
      <c r="J38" s="18">
        <f>SUM(J32:J37)</f>
        <v>547902.09</v>
      </c>
      <c r="K38" s="46">
        <f t="shared" si="8"/>
        <v>639564.8700000001</v>
      </c>
      <c r="L38" s="47"/>
    </row>
    <row r="40" spans="1:12" ht="34.5" customHeight="1">
      <c r="A40" s="10" t="s">
        <v>0</v>
      </c>
      <c r="B40" s="75" t="s">
        <v>71</v>
      </c>
      <c r="C40" s="75"/>
      <c r="D40" s="75"/>
      <c r="E40" s="75"/>
      <c r="F40" s="75"/>
      <c r="G40" s="76" t="s">
        <v>37</v>
      </c>
      <c r="H40" s="76"/>
      <c r="I40" s="76"/>
      <c r="J40" s="76"/>
      <c r="K40" s="76"/>
      <c r="L40" s="76"/>
    </row>
    <row r="41" spans="1:12" ht="12.75">
      <c r="A41" s="5">
        <v>1</v>
      </c>
      <c r="B41" s="74" t="s">
        <v>36</v>
      </c>
      <c r="C41" s="74"/>
      <c r="D41" s="74"/>
      <c r="E41" s="74"/>
      <c r="F41" s="74"/>
      <c r="G41" s="73">
        <v>-198439.61</v>
      </c>
      <c r="H41" s="73"/>
      <c r="I41" s="73"/>
      <c r="J41" s="73"/>
      <c r="K41" s="73"/>
      <c r="L41" s="73"/>
    </row>
    <row r="42" spans="1:12" ht="12.75">
      <c r="A42" s="5">
        <v>2</v>
      </c>
      <c r="B42" s="74" t="s">
        <v>34</v>
      </c>
      <c r="C42" s="74"/>
      <c r="D42" s="74"/>
      <c r="E42" s="74"/>
      <c r="F42" s="74"/>
      <c r="G42" s="73">
        <v>-17753.05</v>
      </c>
      <c r="H42" s="73"/>
      <c r="I42" s="73"/>
      <c r="J42" s="73"/>
      <c r="K42" s="73"/>
      <c r="L42" s="73"/>
    </row>
    <row r="43" spans="1:12" ht="12.75">
      <c r="A43" s="5">
        <v>3</v>
      </c>
      <c r="B43" s="74" t="s">
        <v>44</v>
      </c>
      <c r="C43" s="74"/>
      <c r="D43" s="74"/>
      <c r="E43" s="74"/>
      <c r="F43" s="74"/>
      <c r="G43" s="73">
        <v>-424251.04</v>
      </c>
      <c r="H43" s="73"/>
      <c r="I43" s="73"/>
      <c r="J43" s="73"/>
      <c r="K43" s="73"/>
      <c r="L43" s="73"/>
    </row>
    <row r="44" spans="1:12" ht="12.75">
      <c r="A44" s="5">
        <v>4</v>
      </c>
      <c r="B44" s="74" t="s">
        <v>35</v>
      </c>
      <c r="C44" s="74"/>
      <c r="D44" s="74"/>
      <c r="E44" s="74"/>
      <c r="F44" s="74"/>
      <c r="G44" s="73">
        <v>-77485.19</v>
      </c>
      <c r="H44" s="73"/>
      <c r="I44" s="73"/>
      <c r="J44" s="73"/>
      <c r="K44" s="73"/>
      <c r="L44" s="73"/>
    </row>
    <row r="45" spans="1:12" ht="12.75">
      <c r="A45" s="5">
        <v>5</v>
      </c>
      <c r="B45" s="74" t="s">
        <v>46</v>
      </c>
      <c r="C45" s="74"/>
      <c r="D45" s="74"/>
      <c r="E45" s="74"/>
      <c r="F45" s="74"/>
      <c r="G45" s="73">
        <v>-32504.59</v>
      </c>
      <c r="H45" s="73"/>
      <c r="I45" s="73"/>
      <c r="J45" s="73"/>
      <c r="K45" s="73"/>
      <c r="L45" s="73"/>
    </row>
    <row r="46" spans="1:12" ht="12.75">
      <c r="A46" s="5">
        <v>6</v>
      </c>
      <c r="B46" s="74" t="s">
        <v>45</v>
      </c>
      <c r="C46" s="74"/>
      <c r="D46" s="74"/>
      <c r="E46" s="74"/>
      <c r="F46" s="74"/>
      <c r="G46" s="73">
        <v>-22058.11</v>
      </c>
      <c r="H46" s="73"/>
      <c r="I46" s="73"/>
      <c r="J46" s="73"/>
      <c r="K46" s="73"/>
      <c r="L46" s="73"/>
    </row>
    <row r="47" spans="1:12" ht="12.75">
      <c r="A47" s="5">
        <v>7</v>
      </c>
      <c r="B47" s="74" t="s">
        <v>83</v>
      </c>
      <c r="C47" s="74"/>
      <c r="D47" s="74"/>
      <c r="E47" s="74"/>
      <c r="F47" s="74"/>
      <c r="G47" s="73">
        <v>-62541.42</v>
      </c>
      <c r="H47" s="73"/>
      <c r="I47" s="73"/>
      <c r="J47" s="73"/>
      <c r="K47" s="73"/>
      <c r="L47" s="73"/>
    </row>
    <row r="48" spans="1:12" ht="12.75">
      <c r="A48" s="5">
        <v>8</v>
      </c>
      <c r="B48" s="74" t="s">
        <v>38</v>
      </c>
      <c r="C48" s="74"/>
      <c r="D48" s="74"/>
      <c r="E48" s="74"/>
      <c r="F48" s="74"/>
      <c r="G48" s="73">
        <v>-60934.38</v>
      </c>
      <c r="H48" s="73"/>
      <c r="I48" s="73"/>
      <c r="J48" s="73"/>
      <c r="K48" s="73"/>
      <c r="L48" s="73"/>
    </row>
    <row r="49" spans="1:12" ht="12.75">
      <c r="A49" s="5">
        <v>9</v>
      </c>
      <c r="B49" s="77" t="s">
        <v>79</v>
      </c>
      <c r="C49" s="78"/>
      <c r="D49" s="78"/>
      <c r="E49" s="78"/>
      <c r="F49" s="79"/>
      <c r="G49" s="49">
        <f>-1271959.56-287495.95-700000</f>
        <v>-2259455.51</v>
      </c>
      <c r="H49" s="54"/>
      <c r="I49" s="54"/>
      <c r="J49" s="54"/>
      <c r="K49" s="54"/>
      <c r="L49" s="50"/>
    </row>
    <row r="50" spans="1:12" ht="24.75" customHeight="1">
      <c r="A50" s="5"/>
      <c r="B50" s="39" t="s">
        <v>31</v>
      </c>
      <c r="C50" s="39"/>
      <c r="D50" s="39"/>
      <c r="E50" s="39"/>
      <c r="F50" s="39"/>
      <c r="G50" s="44">
        <f>SUM(G41:G49)</f>
        <v>-3155422.8999999994</v>
      </c>
      <c r="H50" s="44"/>
      <c r="I50" s="44"/>
      <c r="J50" s="44"/>
      <c r="K50" s="44"/>
      <c r="L50" s="44"/>
    </row>
    <row r="51" spans="1:12" ht="12.75" customHeight="1">
      <c r="A51" s="25"/>
      <c r="B51" s="26"/>
      <c r="C51" s="26"/>
      <c r="D51" s="26"/>
      <c r="E51" s="26"/>
      <c r="F51" s="26"/>
      <c r="G51" s="27"/>
      <c r="H51" s="27"/>
      <c r="I51" s="27"/>
      <c r="J51" s="27"/>
      <c r="K51" s="27"/>
      <c r="L51" s="27"/>
    </row>
    <row r="52" spans="1:12" ht="26.25" customHeight="1">
      <c r="A52" s="10" t="s">
        <v>0</v>
      </c>
      <c r="B52" s="39" t="s">
        <v>81</v>
      </c>
      <c r="C52" s="39"/>
      <c r="D52" s="39"/>
      <c r="E52" s="39"/>
      <c r="F52" s="39"/>
      <c r="G52" s="40" t="s">
        <v>82</v>
      </c>
      <c r="H52" s="41"/>
      <c r="I52" s="41"/>
      <c r="J52" s="42"/>
      <c r="K52" s="43" t="s">
        <v>33</v>
      </c>
      <c r="L52" s="43"/>
    </row>
    <row r="53" spans="1:12" ht="24.75" customHeight="1">
      <c r="A53" s="5">
        <v>1</v>
      </c>
      <c r="B53" s="44">
        <v>349351.53</v>
      </c>
      <c r="C53" s="44"/>
      <c r="D53" s="44"/>
      <c r="E53" s="44"/>
      <c r="F53" s="44"/>
      <c r="G53" s="44">
        <v>121850.27</v>
      </c>
      <c r="H53" s="44"/>
      <c r="I53" s="44"/>
      <c r="J53" s="44"/>
      <c r="K53" s="45">
        <f>G53-B53</f>
        <v>-227501.26</v>
      </c>
      <c r="L53" s="43"/>
    </row>
    <row r="54" spans="1:12" ht="12.75" customHeight="1">
      <c r="A54" s="25"/>
      <c r="B54" s="26"/>
      <c r="C54" s="26"/>
      <c r="D54" s="26"/>
      <c r="E54" s="26"/>
      <c r="F54" s="26"/>
      <c r="G54" s="27"/>
      <c r="H54" s="27"/>
      <c r="I54" s="27"/>
      <c r="J54" s="27"/>
      <c r="K54" s="27"/>
      <c r="L54" s="27"/>
    </row>
    <row r="55" spans="1:12" ht="20.25" customHeight="1">
      <c r="A55" s="70" t="s">
        <v>39</v>
      </c>
      <c r="B55" s="63"/>
      <c r="C55" s="62"/>
      <c r="D55" s="62"/>
      <c r="E55" s="62"/>
      <c r="F55" s="62"/>
      <c r="G55" s="62"/>
      <c r="H55" s="62"/>
      <c r="I55" s="63"/>
      <c r="J55" s="72" t="s">
        <v>33</v>
      </c>
      <c r="K55" s="72"/>
      <c r="L55" s="72"/>
    </row>
    <row r="56" spans="1:12" ht="24.75" customHeight="1">
      <c r="A56" s="71"/>
      <c r="B56" s="65"/>
      <c r="C56" s="64"/>
      <c r="D56" s="64"/>
      <c r="E56" s="64"/>
      <c r="F56" s="64"/>
      <c r="G56" s="64"/>
      <c r="H56" s="64"/>
      <c r="I56" s="65"/>
      <c r="J56" s="66">
        <f>L29+K38+G50+K53</f>
        <v>753929.9123849978</v>
      </c>
      <c r="K56" s="67"/>
      <c r="L56" s="68"/>
    </row>
    <row r="58" spans="1:12" ht="12.75">
      <c r="A58" s="69" t="s">
        <v>43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</sheetData>
  <mergeCells count="91">
    <mergeCell ref="B48:F48"/>
    <mergeCell ref="G48:L48"/>
    <mergeCell ref="B50:F50"/>
    <mergeCell ref="G50:L50"/>
    <mergeCell ref="B49:F49"/>
    <mergeCell ref="G49:L49"/>
    <mergeCell ref="B46:F46"/>
    <mergeCell ref="G46:L46"/>
    <mergeCell ref="B47:F47"/>
    <mergeCell ref="G47:L47"/>
    <mergeCell ref="B44:F44"/>
    <mergeCell ref="G44:L44"/>
    <mergeCell ref="B45:F45"/>
    <mergeCell ref="G45:L45"/>
    <mergeCell ref="B42:F42"/>
    <mergeCell ref="G42:L42"/>
    <mergeCell ref="B43:F43"/>
    <mergeCell ref="G43:L43"/>
    <mergeCell ref="B40:F40"/>
    <mergeCell ref="G40:L40"/>
    <mergeCell ref="B41:F41"/>
    <mergeCell ref="G41:L41"/>
    <mergeCell ref="A58:L58"/>
    <mergeCell ref="A55:B56"/>
    <mergeCell ref="J55:L55"/>
    <mergeCell ref="C55:I56"/>
    <mergeCell ref="J56:L56"/>
    <mergeCell ref="J1:L1"/>
    <mergeCell ref="J2:L2"/>
    <mergeCell ref="J3:L3"/>
    <mergeCell ref="J4:L4"/>
    <mergeCell ref="G18:I18"/>
    <mergeCell ref="G19:I19"/>
    <mergeCell ref="G20:I20"/>
    <mergeCell ref="H37:I37"/>
    <mergeCell ref="G23:I23"/>
    <mergeCell ref="G24:I24"/>
    <mergeCell ref="G13:I13"/>
    <mergeCell ref="H35:I35"/>
    <mergeCell ref="H36:I36"/>
    <mergeCell ref="G16:I16"/>
    <mergeCell ref="G17:I17"/>
    <mergeCell ref="G14:I14"/>
    <mergeCell ref="G15:I15"/>
    <mergeCell ref="F35:G35"/>
    <mergeCell ref="F36:G36"/>
    <mergeCell ref="G28:I28"/>
    <mergeCell ref="H38:I38"/>
    <mergeCell ref="F38:G38"/>
    <mergeCell ref="G25:I25"/>
    <mergeCell ref="G26:I26"/>
    <mergeCell ref="G27:I27"/>
    <mergeCell ref="G29:I29"/>
    <mergeCell ref="F37:G37"/>
    <mergeCell ref="H31:I31"/>
    <mergeCell ref="F31:G31"/>
    <mergeCell ref="K37:L37"/>
    <mergeCell ref="F34:G34"/>
    <mergeCell ref="H34:I34"/>
    <mergeCell ref="F33:G33"/>
    <mergeCell ref="H33:I33"/>
    <mergeCell ref="B8:B9"/>
    <mergeCell ref="A8:A9"/>
    <mergeCell ref="F8:F9"/>
    <mergeCell ref="J8:J9"/>
    <mergeCell ref="A7:F7"/>
    <mergeCell ref="F32:G32"/>
    <mergeCell ref="C8:C9"/>
    <mergeCell ref="H32:I32"/>
    <mergeCell ref="G22:I22"/>
    <mergeCell ref="G21:I21"/>
    <mergeCell ref="G8:I9"/>
    <mergeCell ref="G11:I11"/>
    <mergeCell ref="G12:I12"/>
    <mergeCell ref="A10:J10"/>
    <mergeCell ref="K38:L38"/>
    <mergeCell ref="A6:L6"/>
    <mergeCell ref="K33:L33"/>
    <mergeCell ref="K34:L34"/>
    <mergeCell ref="K35:L35"/>
    <mergeCell ref="K36:L36"/>
    <mergeCell ref="L8:L10"/>
    <mergeCell ref="K32:L32"/>
    <mergeCell ref="K31:L31"/>
    <mergeCell ref="K8:K9"/>
    <mergeCell ref="B52:F52"/>
    <mergeCell ref="G52:J52"/>
    <mergeCell ref="K52:L52"/>
    <mergeCell ref="B53:F53"/>
    <mergeCell ref="G53:J53"/>
    <mergeCell ref="K53:L53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6">
      <selection activeCell="J18" sqref="J18"/>
    </sheetView>
  </sheetViews>
  <sheetFormatPr defaultColWidth="9.140625" defaultRowHeight="12.75" outlineLevelRow="1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73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6">D11*E11</f>
        <v>0.59</v>
      </c>
      <c r="D11" s="2">
        <v>0.5</v>
      </c>
      <c r="E11" s="2">
        <v>1.18</v>
      </c>
      <c r="F11" s="12">
        <v>7333.9</v>
      </c>
      <c r="G11" s="49">
        <f aca="true" t="shared" si="1" ref="G11:G20">C11*F11*12</f>
        <v>51924.01199999999</v>
      </c>
      <c r="H11" s="54"/>
      <c r="I11" s="50"/>
      <c r="J11" s="14">
        <f>G11*0.85</f>
        <v>44135.41019999999</v>
      </c>
      <c r="K11" s="14"/>
      <c r="L11" s="14">
        <f aca="true" t="shared" si="2" ref="L11:L28">J11-K11</f>
        <v>44135.41019999999</v>
      </c>
    </row>
    <row r="12" spans="1:12" ht="18.75" customHeight="1">
      <c r="A12" s="1">
        <f aca="true" t="shared" si="3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7333.9</v>
      </c>
      <c r="G12" s="49">
        <f t="shared" si="1"/>
        <v>11423.28264</v>
      </c>
      <c r="H12" s="54"/>
      <c r="I12" s="50"/>
      <c r="J12" s="14">
        <f aca="true" t="shared" si="4" ref="J12:J26">G12*0.85</f>
        <v>9709.790244</v>
      </c>
      <c r="K12" s="14"/>
      <c r="L12" s="14">
        <f t="shared" si="2"/>
        <v>9709.790244</v>
      </c>
    </row>
    <row r="13" spans="1:12" ht="18.75" customHeight="1">
      <c r="A13" s="1">
        <f t="shared" si="3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7333.9</v>
      </c>
      <c r="G13" s="49">
        <f t="shared" si="1"/>
        <v>13500.24312</v>
      </c>
      <c r="H13" s="54"/>
      <c r="I13" s="50"/>
      <c r="J13" s="14">
        <f t="shared" si="4"/>
        <v>11475.206651999999</v>
      </c>
      <c r="K13" s="14"/>
      <c r="L13" s="14">
        <f t="shared" si="2"/>
        <v>11475.206651999999</v>
      </c>
    </row>
    <row r="14" spans="1:12" ht="26.25" customHeight="1">
      <c r="A14" s="1">
        <f t="shared" si="3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7333.9</v>
      </c>
      <c r="G14" s="49">
        <f t="shared" si="1"/>
        <v>37385.28864</v>
      </c>
      <c r="H14" s="54"/>
      <c r="I14" s="50"/>
      <c r="J14" s="14">
        <f t="shared" si="4"/>
        <v>31777.495344</v>
      </c>
      <c r="K14" s="14">
        <v>46033.02</v>
      </c>
      <c r="L14" s="14">
        <f t="shared" si="2"/>
        <v>-14255.524655999998</v>
      </c>
    </row>
    <row r="15" spans="1:12" ht="24.75" customHeight="1">
      <c r="A15" s="1">
        <f t="shared" si="3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7333.9</v>
      </c>
      <c r="G15" s="49">
        <f t="shared" si="1"/>
        <v>139156.35215999998</v>
      </c>
      <c r="H15" s="54"/>
      <c r="I15" s="50"/>
      <c r="J15" s="14">
        <f t="shared" si="4"/>
        <v>118282.89933599997</v>
      </c>
      <c r="K15" s="14">
        <v>152017.44</v>
      </c>
      <c r="L15" s="14">
        <f t="shared" si="2"/>
        <v>-33734.54066400003</v>
      </c>
    </row>
    <row r="16" spans="1:12" ht="25.5">
      <c r="A16" s="1">
        <f t="shared" si="3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7333.9</v>
      </c>
      <c r="G16" s="49">
        <f t="shared" si="1"/>
        <v>68539.69584</v>
      </c>
      <c r="H16" s="54"/>
      <c r="I16" s="50"/>
      <c r="J16" s="14">
        <f t="shared" si="4"/>
        <v>58258.741464</v>
      </c>
      <c r="K16" s="14">
        <v>74874.25</v>
      </c>
      <c r="L16" s="14">
        <f t="shared" si="2"/>
        <v>-16615.508536</v>
      </c>
    </row>
    <row r="17" spans="1:12" ht="22.5" customHeight="1">
      <c r="A17" s="1">
        <f t="shared" si="3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7333.9</v>
      </c>
      <c r="G17" s="49">
        <f t="shared" si="1"/>
        <v>70616.65632</v>
      </c>
      <c r="H17" s="54"/>
      <c r="I17" s="50"/>
      <c r="J17" s="14">
        <f t="shared" si="4"/>
        <v>60024.157871999996</v>
      </c>
      <c r="K17" s="14">
        <v>63811.01</v>
      </c>
      <c r="L17" s="14">
        <f t="shared" si="2"/>
        <v>-3786.852128000006</v>
      </c>
    </row>
    <row r="18" spans="1:12" ht="18.75" customHeight="1">
      <c r="A18" s="1">
        <f t="shared" si="3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7333.9</v>
      </c>
      <c r="G18" s="49">
        <f t="shared" si="1"/>
        <v>333352.15703999996</v>
      </c>
      <c r="H18" s="54"/>
      <c r="I18" s="50"/>
      <c r="J18" s="14">
        <f t="shared" si="4"/>
        <v>283349.33348399994</v>
      </c>
      <c r="K18" s="14">
        <v>125362.13</v>
      </c>
      <c r="L18" s="14">
        <f t="shared" si="2"/>
        <v>157987.20348399994</v>
      </c>
    </row>
    <row r="19" spans="1:12" ht="25.5">
      <c r="A19" s="1">
        <f t="shared" si="3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7333.9</v>
      </c>
      <c r="G19" s="49">
        <f t="shared" si="1"/>
        <v>459008.26608</v>
      </c>
      <c r="H19" s="54"/>
      <c r="I19" s="50"/>
      <c r="J19" s="14">
        <f t="shared" si="4"/>
        <v>390157.02616799995</v>
      </c>
      <c r="K19" s="14">
        <v>175807.8</v>
      </c>
      <c r="L19" s="14">
        <f t="shared" si="2"/>
        <v>214349.22616799996</v>
      </c>
    </row>
    <row r="20" spans="1:12" ht="53.25" customHeight="1">
      <c r="A20" s="1">
        <f t="shared" si="3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7333.9</v>
      </c>
      <c r="G20" s="49">
        <f t="shared" si="1"/>
        <v>201465.16655999998</v>
      </c>
      <c r="H20" s="54"/>
      <c r="I20" s="50"/>
      <c r="J20" s="14">
        <f t="shared" si="4"/>
        <v>171245.391576</v>
      </c>
      <c r="K20" s="14">
        <v>345661.44</v>
      </c>
      <c r="L20" s="14">
        <f t="shared" si="2"/>
        <v>-174416.048424</v>
      </c>
    </row>
    <row r="21" spans="1:12" ht="18.75" customHeight="1">
      <c r="A21" s="1">
        <f aca="true" t="shared" si="5" ref="A21:A26">A20+1</f>
        <v>11</v>
      </c>
      <c r="B21" s="3" t="s">
        <v>15</v>
      </c>
      <c r="C21" s="2">
        <f t="shared" si="0"/>
        <v>1.121</v>
      </c>
      <c r="D21" s="4">
        <v>0.95</v>
      </c>
      <c r="E21" s="2">
        <v>1.18</v>
      </c>
      <c r="F21" s="12">
        <v>7333.9</v>
      </c>
      <c r="G21" s="49">
        <f aca="true" t="shared" si="6" ref="G21:G26">C21*F21*12</f>
        <v>98655.62280000001</v>
      </c>
      <c r="H21" s="54"/>
      <c r="I21" s="50"/>
      <c r="J21" s="14">
        <f t="shared" si="4"/>
        <v>83857.27938</v>
      </c>
      <c r="K21" s="14">
        <v>150000</v>
      </c>
      <c r="L21" s="14">
        <f t="shared" si="2"/>
        <v>-66142.72062</v>
      </c>
    </row>
    <row r="22" spans="1:12" ht="18.75" customHeight="1">
      <c r="A22" s="1">
        <f t="shared" si="5"/>
        <v>12</v>
      </c>
      <c r="B22" s="3" t="s">
        <v>80</v>
      </c>
      <c r="C22" s="2">
        <f t="shared" si="0"/>
        <v>0.3186</v>
      </c>
      <c r="D22" s="4">
        <v>0.27</v>
      </c>
      <c r="E22" s="2">
        <v>1.18</v>
      </c>
      <c r="F22" s="12">
        <v>7333.9</v>
      </c>
      <c r="G22" s="49">
        <f t="shared" si="6"/>
        <v>28038.96648</v>
      </c>
      <c r="H22" s="54"/>
      <c r="I22" s="50"/>
      <c r="J22" s="14">
        <f t="shared" si="4"/>
        <v>23833.121508</v>
      </c>
      <c r="K22" s="14">
        <v>44838.35</v>
      </c>
      <c r="L22" s="14">
        <f t="shared" si="2"/>
        <v>-21005.228492</v>
      </c>
    </row>
    <row r="23" spans="1:12" ht="27.75" customHeight="1">
      <c r="A23" s="1">
        <f t="shared" si="5"/>
        <v>13</v>
      </c>
      <c r="B23" s="3" t="s">
        <v>16</v>
      </c>
      <c r="C23" s="2">
        <f t="shared" si="0"/>
        <v>2.065</v>
      </c>
      <c r="D23" s="4">
        <v>1.75</v>
      </c>
      <c r="E23" s="2">
        <v>1.18</v>
      </c>
      <c r="F23" s="12">
        <v>7333.9</v>
      </c>
      <c r="G23" s="49">
        <f t="shared" si="6"/>
        <v>181734.042</v>
      </c>
      <c r="H23" s="54"/>
      <c r="I23" s="50"/>
      <c r="J23" s="14">
        <f t="shared" si="4"/>
        <v>154473.93569999997</v>
      </c>
      <c r="K23" s="14">
        <v>48955.65</v>
      </c>
      <c r="L23" s="14">
        <f t="shared" si="2"/>
        <v>105518.28569999998</v>
      </c>
    </row>
    <row r="24" spans="1:12" ht="38.25">
      <c r="A24" s="1">
        <f t="shared" si="5"/>
        <v>14</v>
      </c>
      <c r="B24" s="3" t="s">
        <v>17</v>
      </c>
      <c r="C24" s="2">
        <f t="shared" si="0"/>
        <v>0.4366</v>
      </c>
      <c r="D24" s="4">
        <f>0.09+0.28</f>
        <v>0.37</v>
      </c>
      <c r="E24" s="2">
        <v>1.18</v>
      </c>
      <c r="F24" s="12">
        <v>7333.9</v>
      </c>
      <c r="G24" s="49">
        <f t="shared" si="6"/>
        <v>38423.76888</v>
      </c>
      <c r="H24" s="54"/>
      <c r="I24" s="50"/>
      <c r="J24" s="14">
        <f t="shared" si="4"/>
        <v>32660.203548</v>
      </c>
      <c r="K24" s="14">
        <v>10350.62</v>
      </c>
      <c r="L24" s="14">
        <f t="shared" si="2"/>
        <v>22309.583548000002</v>
      </c>
    </row>
    <row r="25" spans="1:12" ht="38.25">
      <c r="A25" s="1">
        <f t="shared" si="5"/>
        <v>15</v>
      </c>
      <c r="B25" s="3" t="s">
        <v>18</v>
      </c>
      <c r="C25" s="2">
        <f t="shared" si="0"/>
        <v>1.1445999999999998</v>
      </c>
      <c r="D25" s="4">
        <v>0.97</v>
      </c>
      <c r="E25" s="2">
        <v>1.18</v>
      </c>
      <c r="F25" s="12">
        <v>7333.9</v>
      </c>
      <c r="G25" s="49">
        <f t="shared" si="6"/>
        <v>100732.58327999999</v>
      </c>
      <c r="H25" s="54"/>
      <c r="I25" s="50"/>
      <c r="J25" s="14">
        <f t="shared" si="4"/>
        <v>85622.695788</v>
      </c>
      <c r="K25" s="14">
        <v>27135.42</v>
      </c>
      <c r="L25" s="14">
        <f t="shared" si="2"/>
        <v>58487.275788</v>
      </c>
    </row>
    <row r="26" spans="1:12" ht="25.5" customHeight="1">
      <c r="A26" s="1">
        <f t="shared" si="5"/>
        <v>16</v>
      </c>
      <c r="B26" s="3" t="s">
        <v>19</v>
      </c>
      <c r="C26" s="2">
        <f t="shared" si="0"/>
        <v>0.6136</v>
      </c>
      <c r="D26" s="4">
        <v>0.52</v>
      </c>
      <c r="E26" s="2">
        <v>1.18</v>
      </c>
      <c r="F26" s="12">
        <v>7333.9</v>
      </c>
      <c r="G26" s="49">
        <f t="shared" si="6"/>
        <v>54000.97248</v>
      </c>
      <c r="H26" s="54"/>
      <c r="I26" s="50"/>
      <c r="J26" s="14">
        <f t="shared" si="4"/>
        <v>45900.826607999996</v>
      </c>
      <c r="K26" s="14">
        <v>14546.82</v>
      </c>
      <c r="L26" s="14">
        <f t="shared" si="2"/>
        <v>31354.006607999996</v>
      </c>
    </row>
    <row r="27" spans="1:12" ht="25.5" customHeight="1" hidden="1" outlineLevel="1">
      <c r="A27" s="1" t="e">
        <f>#REF!+1</f>
        <v>#REF!</v>
      </c>
      <c r="B27" s="3" t="s">
        <v>53</v>
      </c>
      <c r="C27" s="2"/>
      <c r="D27" s="4"/>
      <c r="E27" s="2"/>
      <c r="F27" s="12"/>
      <c r="G27" s="49"/>
      <c r="H27" s="54"/>
      <c r="I27" s="50"/>
      <c r="J27" s="14"/>
      <c r="K27" s="14"/>
      <c r="L27" s="14">
        <f t="shared" si="2"/>
        <v>0</v>
      </c>
    </row>
    <row r="28" spans="1:12" ht="20.25" customHeight="1" collapsed="1">
      <c r="A28" s="5"/>
      <c r="B28" s="6" t="s">
        <v>48</v>
      </c>
      <c r="C28" s="23">
        <f>SUM(C11:C26)</f>
        <v>21.4524</v>
      </c>
      <c r="D28" s="23"/>
      <c r="E28" s="23"/>
      <c r="F28" s="24"/>
      <c r="G28" s="44">
        <f>SUM(G11:I26)</f>
        <v>1887957.0763199998</v>
      </c>
      <c r="H28" s="44"/>
      <c r="I28" s="44"/>
      <c r="J28" s="22">
        <f>SUM(J11:J27)</f>
        <v>1604763.5148719999</v>
      </c>
      <c r="K28" s="22">
        <f>SUM(K11:K27)</f>
        <v>1279393.95</v>
      </c>
      <c r="L28" s="18">
        <f t="shared" si="2"/>
        <v>325369.5648719999</v>
      </c>
    </row>
    <row r="30" spans="1:12" ht="21.75" customHeight="1">
      <c r="A30" s="10" t="s">
        <v>0</v>
      </c>
      <c r="B30" s="7" t="s">
        <v>20</v>
      </c>
      <c r="C30" s="15" t="s">
        <v>21</v>
      </c>
      <c r="D30" s="15"/>
      <c r="E30" s="15"/>
      <c r="F30" s="61" t="s">
        <v>22</v>
      </c>
      <c r="G30" s="61"/>
      <c r="H30" s="32" t="s">
        <v>23</v>
      </c>
      <c r="I30" s="33"/>
      <c r="J30" s="7" t="s">
        <v>24</v>
      </c>
      <c r="K30" s="51" t="s">
        <v>25</v>
      </c>
      <c r="L30" s="51"/>
    </row>
    <row r="31" spans="1:12" ht="12.75">
      <c r="A31" s="5">
        <v>1</v>
      </c>
      <c r="B31" s="5" t="s">
        <v>26</v>
      </c>
      <c r="C31" s="16">
        <f>2013947.22-200000</f>
        <v>1813947.22</v>
      </c>
      <c r="D31" s="19"/>
      <c r="E31" s="19"/>
      <c r="F31" s="49">
        <v>1329206.94</v>
      </c>
      <c r="G31" s="50"/>
      <c r="H31" s="49">
        <f>F31-C31</f>
        <v>-484740.28</v>
      </c>
      <c r="I31" s="50"/>
      <c r="J31" s="13">
        <v>322187.13</v>
      </c>
      <c r="K31" s="49">
        <f aca="true" t="shared" si="7" ref="K31:K36">J31+H31</f>
        <v>-162553.15000000002</v>
      </c>
      <c r="L31" s="50"/>
    </row>
    <row r="32" spans="1:12" ht="12.75">
      <c r="A32" s="5">
        <v>2</v>
      </c>
      <c r="B32" s="5" t="s">
        <v>27</v>
      </c>
      <c r="C32" s="16">
        <f>927071.31+200000</f>
        <v>1127071.31</v>
      </c>
      <c r="D32" s="19"/>
      <c r="E32" s="19"/>
      <c r="F32" s="49">
        <v>825843.12</v>
      </c>
      <c r="G32" s="50"/>
      <c r="H32" s="49">
        <f>F32-C32</f>
        <v>-301228.19000000006</v>
      </c>
      <c r="I32" s="50"/>
      <c r="J32" s="13">
        <v>259529.34</v>
      </c>
      <c r="K32" s="49">
        <f t="shared" si="7"/>
        <v>-41698.850000000064</v>
      </c>
      <c r="L32" s="50"/>
    </row>
    <row r="33" spans="1:12" ht="12.75">
      <c r="A33" s="5">
        <v>3</v>
      </c>
      <c r="B33" s="5" t="s">
        <v>28</v>
      </c>
      <c r="C33" s="16">
        <v>510266</v>
      </c>
      <c r="D33" s="19"/>
      <c r="E33" s="19"/>
      <c r="F33" s="49">
        <v>422611.12</v>
      </c>
      <c r="G33" s="50"/>
      <c r="H33" s="49">
        <f>F33-C33</f>
        <v>-87654.88</v>
      </c>
      <c r="I33" s="50"/>
      <c r="J33" s="13">
        <v>43573</v>
      </c>
      <c r="K33" s="49">
        <f t="shared" si="7"/>
        <v>-44081.880000000005</v>
      </c>
      <c r="L33" s="50"/>
    </row>
    <row r="34" spans="1:12" ht="12.75">
      <c r="A34" s="5">
        <v>4</v>
      </c>
      <c r="B34" s="5" t="s">
        <v>29</v>
      </c>
      <c r="C34" s="16">
        <v>659248.89</v>
      </c>
      <c r="D34" s="19"/>
      <c r="E34" s="19"/>
      <c r="F34" s="49">
        <v>579267.5</v>
      </c>
      <c r="G34" s="50"/>
      <c r="H34" s="49">
        <f>F34-C34</f>
        <v>-79981.39000000001</v>
      </c>
      <c r="I34" s="50"/>
      <c r="J34" s="13"/>
      <c r="K34" s="49">
        <f t="shared" si="7"/>
        <v>-79981.39000000001</v>
      </c>
      <c r="L34" s="50"/>
    </row>
    <row r="35" spans="1:12" ht="12.75">
      <c r="A35" s="5">
        <v>5</v>
      </c>
      <c r="B35" s="5" t="s">
        <v>30</v>
      </c>
      <c r="C35" s="16">
        <v>552104.12</v>
      </c>
      <c r="D35" s="19"/>
      <c r="E35" s="19"/>
      <c r="F35" s="49">
        <v>522921.05</v>
      </c>
      <c r="G35" s="50"/>
      <c r="H35" s="49">
        <f>F35-C35</f>
        <v>-29183.070000000007</v>
      </c>
      <c r="I35" s="50"/>
      <c r="J35" s="13">
        <v>9191.33</v>
      </c>
      <c r="K35" s="49">
        <f t="shared" si="7"/>
        <v>-19991.740000000005</v>
      </c>
      <c r="L35" s="50"/>
    </row>
    <row r="36" spans="1:12" ht="20.25" customHeight="1">
      <c r="A36" s="5"/>
      <c r="B36" s="8" t="s">
        <v>31</v>
      </c>
      <c r="C36" s="17">
        <f>SUM(C31:C35)</f>
        <v>4662637.54</v>
      </c>
      <c r="D36" s="17"/>
      <c r="E36" s="17"/>
      <c r="F36" s="44">
        <f>SUM(F31:G35)</f>
        <v>3679849.73</v>
      </c>
      <c r="G36" s="44"/>
      <c r="H36" s="46">
        <f>SUM(H31:H35)</f>
        <v>-982787.81</v>
      </c>
      <c r="I36" s="47"/>
      <c r="J36" s="18">
        <f>SUM(J31:J35)</f>
        <v>634480.7999999999</v>
      </c>
      <c r="K36" s="46">
        <f t="shared" si="7"/>
        <v>-348307.0100000001</v>
      </c>
      <c r="L36" s="47"/>
    </row>
    <row r="38" spans="1:12" ht="34.5" customHeight="1">
      <c r="A38" s="10" t="s">
        <v>0</v>
      </c>
      <c r="B38" s="75" t="s">
        <v>60</v>
      </c>
      <c r="C38" s="75"/>
      <c r="D38" s="75"/>
      <c r="E38" s="75"/>
      <c r="F38" s="75"/>
      <c r="G38" s="76" t="s">
        <v>37</v>
      </c>
      <c r="H38" s="76"/>
      <c r="I38" s="76"/>
      <c r="J38" s="76"/>
      <c r="K38" s="76"/>
      <c r="L38" s="76"/>
    </row>
    <row r="39" spans="1:12" ht="12.75">
      <c r="A39" s="5">
        <v>1</v>
      </c>
      <c r="B39" s="74" t="s">
        <v>36</v>
      </c>
      <c r="C39" s="74"/>
      <c r="D39" s="74"/>
      <c r="E39" s="74"/>
      <c r="F39" s="74"/>
      <c r="G39" s="73">
        <v>-37561.33</v>
      </c>
      <c r="H39" s="73"/>
      <c r="I39" s="73"/>
      <c r="J39" s="73"/>
      <c r="K39" s="73"/>
      <c r="L39" s="73"/>
    </row>
    <row r="40" spans="1:12" ht="12.75">
      <c r="A40" s="5">
        <v>2</v>
      </c>
      <c r="B40" s="74" t="s">
        <v>34</v>
      </c>
      <c r="C40" s="74"/>
      <c r="D40" s="74"/>
      <c r="E40" s="74"/>
      <c r="F40" s="74"/>
      <c r="G40" s="73">
        <v>-3360.36</v>
      </c>
      <c r="H40" s="73"/>
      <c r="I40" s="73"/>
      <c r="J40" s="73"/>
      <c r="K40" s="73"/>
      <c r="L40" s="73"/>
    </row>
    <row r="41" spans="1:12" ht="12.75">
      <c r="A41" s="5">
        <v>3</v>
      </c>
      <c r="B41" s="74" t="s">
        <v>44</v>
      </c>
      <c r="C41" s="74"/>
      <c r="D41" s="74"/>
      <c r="E41" s="74"/>
      <c r="F41" s="74"/>
      <c r="G41" s="73">
        <v>-80303.69</v>
      </c>
      <c r="H41" s="73"/>
      <c r="I41" s="73"/>
      <c r="J41" s="73"/>
      <c r="K41" s="73"/>
      <c r="L41" s="73"/>
    </row>
    <row r="42" spans="1:12" ht="12.75">
      <c r="A42" s="5">
        <v>4</v>
      </c>
      <c r="B42" s="74" t="s">
        <v>35</v>
      </c>
      <c r="C42" s="74"/>
      <c r="D42" s="74"/>
      <c r="E42" s="74"/>
      <c r="F42" s="74"/>
      <c r="G42" s="73">
        <v>-14666.66</v>
      </c>
      <c r="H42" s="73"/>
      <c r="I42" s="73"/>
      <c r="J42" s="73"/>
      <c r="K42" s="73"/>
      <c r="L42" s="73"/>
    </row>
    <row r="43" spans="1:12" ht="12.75">
      <c r="A43" s="5">
        <v>5</v>
      </c>
      <c r="B43" s="74" t="s">
        <v>46</v>
      </c>
      <c r="C43" s="74"/>
      <c r="D43" s="74"/>
      <c r="E43" s="74"/>
      <c r="F43" s="74"/>
      <c r="G43" s="73">
        <v>-6152.58</v>
      </c>
      <c r="H43" s="73"/>
      <c r="I43" s="73"/>
      <c r="J43" s="73"/>
      <c r="K43" s="73"/>
      <c r="L43" s="73"/>
    </row>
    <row r="44" spans="1:12" ht="12.75">
      <c r="A44" s="5">
        <v>6</v>
      </c>
      <c r="B44" s="74" t="s">
        <v>45</v>
      </c>
      <c r="C44" s="74"/>
      <c r="D44" s="74"/>
      <c r="E44" s="74"/>
      <c r="F44" s="74"/>
      <c r="G44" s="73">
        <v>-4175.24</v>
      </c>
      <c r="H44" s="73"/>
      <c r="I44" s="73"/>
      <c r="J44" s="73"/>
      <c r="K44" s="73"/>
      <c r="L44" s="73"/>
    </row>
    <row r="45" spans="1:12" ht="12.75">
      <c r="A45" s="5">
        <v>7</v>
      </c>
      <c r="B45" s="74" t="s">
        <v>83</v>
      </c>
      <c r="C45" s="74"/>
      <c r="D45" s="74"/>
      <c r="E45" s="74"/>
      <c r="F45" s="74"/>
      <c r="G45" s="73">
        <v>-11838.05</v>
      </c>
      <c r="H45" s="73"/>
      <c r="I45" s="73"/>
      <c r="J45" s="73"/>
      <c r="K45" s="73"/>
      <c r="L45" s="73"/>
    </row>
    <row r="46" spans="1:12" ht="12.75">
      <c r="A46" s="5">
        <v>8</v>
      </c>
      <c r="B46" s="74" t="s">
        <v>38</v>
      </c>
      <c r="C46" s="74"/>
      <c r="D46" s="74"/>
      <c r="E46" s="74"/>
      <c r="F46" s="74"/>
      <c r="G46" s="73">
        <v>-11533.87</v>
      </c>
      <c r="H46" s="73"/>
      <c r="I46" s="73"/>
      <c r="J46" s="73"/>
      <c r="K46" s="73"/>
      <c r="L46" s="73"/>
    </row>
    <row r="47" spans="1:12" ht="12.75">
      <c r="A47" s="5">
        <v>9</v>
      </c>
      <c r="B47" s="77" t="s">
        <v>79</v>
      </c>
      <c r="C47" s="78"/>
      <c r="D47" s="78"/>
      <c r="E47" s="78"/>
      <c r="F47" s="79"/>
      <c r="G47" s="49">
        <v>-167513.28</v>
      </c>
      <c r="H47" s="54"/>
      <c r="I47" s="54"/>
      <c r="J47" s="54"/>
      <c r="K47" s="54"/>
      <c r="L47" s="50"/>
    </row>
    <row r="48" spans="1:12" ht="24.75" customHeight="1">
      <c r="A48" s="5"/>
      <c r="B48" s="39" t="s">
        <v>31</v>
      </c>
      <c r="C48" s="39"/>
      <c r="D48" s="39"/>
      <c r="E48" s="39"/>
      <c r="F48" s="39"/>
      <c r="G48" s="44">
        <f>SUM(G39:G47)</f>
        <v>-337105.05999999994</v>
      </c>
      <c r="H48" s="44"/>
      <c r="I48" s="44"/>
      <c r="J48" s="44"/>
      <c r="K48" s="44"/>
      <c r="L48" s="44"/>
    </row>
    <row r="49" spans="1:12" ht="14.25" customHeight="1">
      <c r="A49" s="25"/>
      <c r="B49" s="26"/>
      <c r="C49" s="26"/>
      <c r="D49" s="26"/>
      <c r="E49" s="26"/>
      <c r="F49" s="26"/>
      <c r="G49" s="27"/>
      <c r="H49" s="27"/>
      <c r="I49" s="27"/>
      <c r="J49" s="27"/>
      <c r="K49" s="27"/>
      <c r="L49" s="27"/>
    </row>
    <row r="50" spans="1:12" ht="26.25" customHeight="1">
      <c r="A50" s="10" t="s">
        <v>0</v>
      </c>
      <c r="B50" s="39" t="s">
        <v>81</v>
      </c>
      <c r="C50" s="39"/>
      <c r="D50" s="39"/>
      <c r="E50" s="39"/>
      <c r="F50" s="39"/>
      <c r="G50" s="40" t="s">
        <v>82</v>
      </c>
      <c r="H50" s="41"/>
      <c r="I50" s="41"/>
      <c r="J50" s="42"/>
      <c r="K50" s="43" t="s">
        <v>33</v>
      </c>
      <c r="L50" s="43"/>
    </row>
    <row r="51" spans="1:12" ht="24.75" customHeight="1">
      <c r="A51" s="5">
        <v>1</v>
      </c>
      <c r="B51" s="44">
        <v>80661.75</v>
      </c>
      <c r="C51" s="44"/>
      <c r="D51" s="44"/>
      <c r="E51" s="44"/>
      <c r="F51" s="44"/>
      <c r="G51" s="44">
        <v>28134</v>
      </c>
      <c r="H51" s="44"/>
      <c r="I51" s="44"/>
      <c r="J51" s="44"/>
      <c r="K51" s="45">
        <f>G51-B51</f>
        <v>-52527.75</v>
      </c>
      <c r="L51" s="43"/>
    </row>
    <row r="52" spans="1:12" ht="10.5" customHeight="1">
      <c r="A52" s="25"/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</row>
    <row r="53" spans="1:12" ht="20.25" customHeight="1">
      <c r="A53" s="70" t="s">
        <v>39</v>
      </c>
      <c r="B53" s="63"/>
      <c r="C53" s="62"/>
      <c r="D53" s="62"/>
      <c r="E53" s="62"/>
      <c r="F53" s="62"/>
      <c r="G53" s="62"/>
      <c r="H53" s="62"/>
      <c r="I53" s="63"/>
      <c r="J53" s="72" t="s">
        <v>33</v>
      </c>
      <c r="K53" s="72"/>
      <c r="L53" s="72"/>
    </row>
    <row r="54" spans="1:12" ht="24.75" customHeight="1">
      <c r="A54" s="71"/>
      <c r="B54" s="65"/>
      <c r="C54" s="64"/>
      <c r="D54" s="64"/>
      <c r="E54" s="64"/>
      <c r="F54" s="64"/>
      <c r="G54" s="64"/>
      <c r="H54" s="64"/>
      <c r="I54" s="65"/>
      <c r="J54" s="66">
        <f>L28+K36+G48+K51</f>
        <v>-412570.25512800016</v>
      </c>
      <c r="K54" s="67"/>
      <c r="L54" s="68"/>
    </row>
    <row r="56" spans="1:12" ht="12.75">
      <c r="A56" s="69" t="s">
        <v>43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</sheetData>
  <mergeCells count="87">
    <mergeCell ref="G45:L45"/>
    <mergeCell ref="G46:L46"/>
    <mergeCell ref="B48:F48"/>
    <mergeCell ref="G48:L48"/>
    <mergeCell ref="B45:F45"/>
    <mergeCell ref="B46:F46"/>
    <mergeCell ref="B47:F47"/>
    <mergeCell ref="G47:L47"/>
    <mergeCell ref="G38:L38"/>
    <mergeCell ref="G39:L39"/>
    <mergeCell ref="G40:L40"/>
    <mergeCell ref="G41:L41"/>
    <mergeCell ref="B38:F38"/>
    <mergeCell ref="B39:F39"/>
    <mergeCell ref="B40:F40"/>
    <mergeCell ref="B41:F41"/>
    <mergeCell ref="G43:L43"/>
    <mergeCell ref="G44:L44"/>
    <mergeCell ref="B42:F42"/>
    <mergeCell ref="G42:L42"/>
    <mergeCell ref="B43:F43"/>
    <mergeCell ref="B44:F44"/>
    <mergeCell ref="A56:L56"/>
    <mergeCell ref="A53:B54"/>
    <mergeCell ref="J53:L53"/>
    <mergeCell ref="J1:L1"/>
    <mergeCell ref="J2:L2"/>
    <mergeCell ref="J3:L3"/>
    <mergeCell ref="J4:L4"/>
    <mergeCell ref="G18:I18"/>
    <mergeCell ref="G19:I19"/>
    <mergeCell ref="G20:I20"/>
    <mergeCell ref="C53:I54"/>
    <mergeCell ref="J54:L54"/>
    <mergeCell ref="G13:I13"/>
    <mergeCell ref="H34:I34"/>
    <mergeCell ref="H35:I35"/>
    <mergeCell ref="G16:I16"/>
    <mergeCell ref="G17:I17"/>
    <mergeCell ref="G14:I14"/>
    <mergeCell ref="G15:I15"/>
    <mergeCell ref="F34:G34"/>
    <mergeCell ref="H36:I36"/>
    <mergeCell ref="F36:G36"/>
    <mergeCell ref="G24:I24"/>
    <mergeCell ref="G25:I25"/>
    <mergeCell ref="G26:I26"/>
    <mergeCell ref="G28:I28"/>
    <mergeCell ref="H30:I30"/>
    <mergeCell ref="F30:G30"/>
    <mergeCell ref="G27:I27"/>
    <mergeCell ref="F35:G35"/>
    <mergeCell ref="A8:A9"/>
    <mergeCell ref="F8:F9"/>
    <mergeCell ref="J8:J9"/>
    <mergeCell ref="F33:G33"/>
    <mergeCell ref="H33:I33"/>
    <mergeCell ref="F32:G32"/>
    <mergeCell ref="H32:I32"/>
    <mergeCell ref="G22:I22"/>
    <mergeCell ref="G23:I23"/>
    <mergeCell ref="A7:F7"/>
    <mergeCell ref="F31:G31"/>
    <mergeCell ref="C8:C9"/>
    <mergeCell ref="H31:I31"/>
    <mergeCell ref="G21:I21"/>
    <mergeCell ref="G8:I9"/>
    <mergeCell ref="G11:I11"/>
    <mergeCell ref="G12:I12"/>
    <mergeCell ref="A10:J10"/>
    <mergeCell ref="B8:B9"/>
    <mergeCell ref="K36:L36"/>
    <mergeCell ref="A6:L6"/>
    <mergeCell ref="K32:L32"/>
    <mergeCell ref="K33:L33"/>
    <mergeCell ref="K34:L34"/>
    <mergeCell ref="K35:L35"/>
    <mergeCell ref="L8:L10"/>
    <mergeCell ref="K31:L31"/>
    <mergeCell ref="K30:L30"/>
    <mergeCell ref="K8:K9"/>
    <mergeCell ref="B50:F50"/>
    <mergeCell ref="G50:J50"/>
    <mergeCell ref="K50:L50"/>
    <mergeCell ref="B51:F51"/>
    <mergeCell ref="G51:J51"/>
    <mergeCell ref="K51:L51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37">
      <selection activeCell="R27" sqref="R27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74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v>6654.5</v>
      </c>
      <c r="G11" s="49">
        <f aca="true" t="shared" si="1" ref="G11:G21">C11*F11*12</f>
        <v>47113.86</v>
      </c>
      <c r="H11" s="54"/>
      <c r="I11" s="50"/>
      <c r="J11" s="14">
        <f>G11*0.85</f>
        <v>40046.781</v>
      </c>
      <c r="K11" s="14"/>
      <c r="L11" s="14">
        <f aca="true" t="shared" si="2" ref="L11:L29">J11-K11</f>
        <v>40046.781</v>
      </c>
    </row>
    <row r="12" spans="1:12" ht="18.75" customHeight="1">
      <c r="A12" s="1">
        <f aca="true" t="shared" si="3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6654.5</v>
      </c>
      <c r="G12" s="49">
        <f t="shared" si="1"/>
        <v>10365.0492</v>
      </c>
      <c r="H12" s="54"/>
      <c r="I12" s="50"/>
      <c r="J12" s="14">
        <f aca="true" t="shared" si="4" ref="J12:J28">G12*0.85</f>
        <v>8810.291819999999</v>
      </c>
      <c r="K12" s="14"/>
      <c r="L12" s="14">
        <f t="shared" si="2"/>
        <v>8810.291819999999</v>
      </c>
    </row>
    <row r="13" spans="1:12" ht="18.75" customHeight="1">
      <c r="A13" s="1">
        <f t="shared" si="3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6654.5</v>
      </c>
      <c r="G13" s="49">
        <f t="shared" si="1"/>
        <v>12249.603600000002</v>
      </c>
      <c r="H13" s="54"/>
      <c r="I13" s="50"/>
      <c r="J13" s="14">
        <f t="shared" si="4"/>
        <v>10412.16306</v>
      </c>
      <c r="K13" s="14"/>
      <c r="L13" s="14">
        <f t="shared" si="2"/>
        <v>10412.16306</v>
      </c>
    </row>
    <row r="14" spans="1:12" ht="26.25" customHeight="1">
      <c r="A14" s="1">
        <f t="shared" si="3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6654.5</v>
      </c>
      <c r="G14" s="49">
        <f t="shared" si="1"/>
        <v>33921.979199999994</v>
      </c>
      <c r="H14" s="54"/>
      <c r="I14" s="50"/>
      <c r="J14" s="14">
        <f t="shared" si="4"/>
        <v>28833.682319999993</v>
      </c>
      <c r="K14" s="14">
        <v>41768.6</v>
      </c>
      <c r="L14" s="14">
        <f t="shared" si="2"/>
        <v>-12934.917680000006</v>
      </c>
    </row>
    <row r="15" spans="1:12" ht="24.75" customHeight="1">
      <c r="A15" s="1">
        <f t="shared" si="3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6654.5</v>
      </c>
      <c r="G15" s="49">
        <f t="shared" si="1"/>
        <v>126265.14480000001</v>
      </c>
      <c r="H15" s="54"/>
      <c r="I15" s="50"/>
      <c r="J15" s="14">
        <f t="shared" si="4"/>
        <v>107325.37308</v>
      </c>
      <c r="K15" s="14">
        <v>137934.81</v>
      </c>
      <c r="L15" s="14">
        <f t="shared" si="2"/>
        <v>-30609.436919999993</v>
      </c>
    </row>
    <row r="16" spans="1:12" ht="25.5">
      <c r="A16" s="1">
        <f t="shared" si="3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6654.5</v>
      </c>
      <c r="G16" s="49">
        <f t="shared" si="1"/>
        <v>62190.29520000001</v>
      </c>
      <c r="H16" s="54"/>
      <c r="I16" s="50"/>
      <c r="J16" s="14">
        <f t="shared" si="4"/>
        <v>52861.750920000006</v>
      </c>
      <c r="K16" s="14">
        <v>67938.04</v>
      </c>
      <c r="L16" s="14">
        <f t="shared" si="2"/>
        <v>-15076.289079999988</v>
      </c>
    </row>
    <row r="17" spans="1:12" ht="22.5" customHeight="1">
      <c r="A17" s="1">
        <f t="shared" si="3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6654.5</v>
      </c>
      <c r="G17" s="49">
        <f t="shared" si="1"/>
        <v>64074.8496</v>
      </c>
      <c r="H17" s="54"/>
      <c r="I17" s="50"/>
      <c r="J17" s="14">
        <f t="shared" si="4"/>
        <v>54463.62216</v>
      </c>
      <c r="K17" s="14">
        <v>57899.66</v>
      </c>
      <c r="L17" s="14">
        <f t="shared" si="2"/>
        <v>-3436.0378400000045</v>
      </c>
    </row>
    <row r="18" spans="1:12" ht="18.75" customHeight="1">
      <c r="A18" s="1">
        <f t="shared" si="3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6654.5</v>
      </c>
      <c r="G18" s="49">
        <f t="shared" si="1"/>
        <v>302470.9812</v>
      </c>
      <c r="H18" s="54"/>
      <c r="I18" s="50"/>
      <c r="J18" s="14">
        <f t="shared" si="4"/>
        <v>257100.33401999998</v>
      </c>
      <c r="K18" s="14">
        <v>125362.13</v>
      </c>
      <c r="L18" s="14">
        <f t="shared" si="2"/>
        <v>131738.20401999998</v>
      </c>
    </row>
    <row r="19" spans="1:12" ht="25.5">
      <c r="A19" s="1">
        <f t="shared" si="3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6654.5</v>
      </c>
      <c r="G19" s="49">
        <f t="shared" si="1"/>
        <v>416486.5223999999</v>
      </c>
      <c r="H19" s="54"/>
      <c r="I19" s="50"/>
      <c r="J19" s="14">
        <f t="shared" si="4"/>
        <v>354013.5440399999</v>
      </c>
      <c r="K19" s="14">
        <v>162148.76</v>
      </c>
      <c r="L19" s="14">
        <f t="shared" si="2"/>
        <v>191864.78403999988</v>
      </c>
    </row>
    <row r="20" spans="1:12" ht="53.25" customHeight="1">
      <c r="A20" s="1">
        <f t="shared" si="3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6654.5</v>
      </c>
      <c r="G20" s="49">
        <f t="shared" si="1"/>
        <v>182801.7768</v>
      </c>
      <c r="H20" s="54"/>
      <c r="I20" s="50"/>
      <c r="J20" s="14">
        <f t="shared" si="4"/>
        <v>155381.51028</v>
      </c>
      <c r="K20" s="14">
        <v>295112.29</v>
      </c>
      <c r="L20" s="14">
        <f t="shared" si="2"/>
        <v>-139730.77972</v>
      </c>
    </row>
    <row r="21" spans="1:12" ht="19.5" customHeight="1">
      <c r="A21" s="1">
        <v>11</v>
      </c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6654.5</v>
      </c>
      <c r="G21" s="49">
        <f t="shared" si="1"/>
        <v>102708.21480000002</v>
      </c>
      <c r="H21" s="54"/>
      <c r="I21" s="50"/>
      <c r="J21" s="14">
        <f t="shared" si="4"/>
        <v>87301.98258000001</v>
      </c>
      <c r="K21" s="14"/>
      <c r="L21" s="14">
        <f t="shared" si="2"/>
        <v>87301.98258000001</v>
      </c>
    </row>
    <row r="22" spans="1:12" ht="24.75" customHeight="1">
      <c r="A22" s="1">
        <v>12</v>
      </c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v>6654.5</v>
      </c>
      <c r="G22" s="49">
        <f>C22*F22*8</f>
        <v>357437.1512</v>
      </c>
      <c r="H22" s="54"/>
      <c r="I22" s="50"/>
      <c r="J22" s="14">
        <f t="shared" si="4"/>
        <v>303821.57852000004</v>
      </c>
      <c r="K22" s="14">
        <v>215964</v>
      </c>
      <c r="L22" s="14">
        <f t="shared" si="2"/>
        <v>87857.57852000004</v>
      </c>
    </row>
    <row r="23" spans="1:12" ht="18.75" customHeight="1">
      <c r="A23" s="1">
        <v>13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v>6654.5</v>
      </c>
      <c r="G23" s="49">
        <f aca="true" t="shared" si="5" ref="G23:G28">C23*F23*12</f>
        <v>89516.334</v>
      </c>
      <c r="H23" s="54"/>
      <c r="I23" s="50"/>
      <c r="J23" s="14">
        <f t="shared" si="4"/>
        <v>76088.8839</v>
      </c>
      <c r="K23" s="14">
        <v>112500</v>
      </c>
      <c r="L23" s="14">
        <f t="shared" si="2"/>
        <v>-36411.1161</v>
      </c>
    </row>
    <row r="24" spans="1:12" ht="18.75" customHeight="1">
      <c r="A24" s="1">
        <v>14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6654.5</v>
      </c>
      <c r="G24" s="49">
        <f t="shared" si="5"/>
        <v>25441.4844</v>
      </c>
      <c r="H24" s="54"/>
      <c r="I24" s="50"/>
      <c r="J24" s="14">
        <f t="shared" si="4"/>
        <v>21625.26174</v>
      </c>
      <c r="K24" s="14">
        <v>40684.6</v>
      </c>
      <c r="L24" s="14">
        <f t="shared" si="2"/>
        <v>-19059.338259999997</v>
      </c>
    </row>
    <row r="25" spans="1:12" ht="27.75" customHeight="1">
      <c r="A25" s="1">
        <v>15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v>6654.5</v>
      </c>
      <c r="G25" s="49">
        <f t="shared" si="5"/>
        <v>164898.51</v>
      </c>
      <c r="H25" s="54"/>
      <c r="I25" s="50"/>
      <c r="J25" s="14">
        <f t="shared" si="4"/>
        <v>140163.7335</v>
      </c>
      <c r="K25" s="14">
        <v>44420.48</v>
      </c>
      <c r="L25" s="14">
        <f t="shared" si="2"/>
        <v>95743.25349999999</v>
      </c>
    </row>
    <row r="26" spans="1:12" ht="38.25">
      <c r="A26" s="1">
        <v>16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v>6654.5</v>
      </c>
      <c r="G26" s="49">
        <f t="shared" si="5"/>
        <v>34864.2564</v>
      </c>
      <c r="H26" s="54"/>
      <c r="I26" s="50"/>
      <c r="J26" s="14">
        <f t="shared" si="4"/>
        <v>29634.617939999996</v>
      </c>
      <c r="K26" s="14">
        <v>9391.76</v>
      </c>
      <c r="L26" s="14">
        <f t="shared" si="2"/>
        <v>20242.857939999994</v>
      </c>
    </row>
    <row r="27" spans="1:12" ht="38.25">
      <c r="A27" s="1">
        <v>17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v>6654.5</v>
      </c>
      <c r="G27" s="49">
        <f t="shared" si="5"/>
        <v>91400.8884</v>
      </c>
      <c r="H27" s="54"/>
      <c r="I27" s="50"/>
      <c r="J27" s="14">
        <f t="shared" si="4"/>
        <v>77690.75514</v>
      </c>
      <c r="K27" s="14">
        <v>24621.64</v>
      </c>
      <c r="L27" s="14">
        <f t="shared" si="2"/>
        <v>53069.115139999994</v>
      </c>
    </row>
    <row r="28" spans="1:12" ht="25.5" customHeight="1">
      <c r="A28" s="1">
        <f>A27+1</f>
        <v>18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v>6654.5</v>
      </c>
      <c r="G28" s="49">
        <f t="shared" si="5"/>
        <v>48998.41440000001</v>
      </c>
      <c r="H28" s="54"/>
      <c r="I28" s="50"/>
      <c r="J28" s="14">
        <f t="shared" si="4"/>
        <v>41648.65224</v>
      </c>
      <c r="K28" s="14">
        <v>13199.23</v>
      </c>
      <c r="L28" s="14">
        <f t="shared" si="2"/>
        <v>28449.422240000004</v>
      </c>
    </row>
    <row r="29" spans="1:12" ht="20.25" customHeight="1">
      <c r="A29" s="5"/>
      <c r="B29" s="6" t="s">
        <v>48</v>
      </c>
      <c r="C29" s="23">
        <f>SUM(C11:C28)</f>
        <v>29.4528</v>
      </c>
      <c r="D29" s="23"/>
      <c r="E29" s="23"/>
      <c r="F29" s="24"/>
      <c r="G29" s="44">
        <f>SUM(G11:I28)</f>
        <v>2173205.3156</v>
      </c>
      <c r="H29" s="44"/>
      <c r="I29" s="44"/>
      <c r="J29" s="22">
        <f>SUM(J11:J28)</f>
        <v>1847224.51826</v>
      </c>
      <c r="K29" s="22">
        <f>SUM(K11:K28)</f>
        <v>1348946</v>
      </c>
      <c r="L29" s="18">
        <f t="shared" si="2"/>
        <v>498278.51826000004</v>
      </c>
    </row>
    <row r="31" spans="1:12" ht="21.75" customHeight="1">
      <c r="A31" s="10" t="s">
        <v>0</v>
      </c>
      <c r="B31" s="7" t="s">
        <v>20</v>
      </c>
      <c r="C31" s="15" t="s">
        <v>21</v>
      </c>
      <c r="D31" s="15"/>
      <c r="E31" s="15"/>
      <c r="F31" s="61" t="s">
        <v>22</v>
      </c>
      <c r="G31" s="61"/>
      <c r="H31" s="32" t="s">
        <v>23</v>
      </c>
      <c r="I31" s="33"/>
      <c r="J31" s="7" t="s">
        <v>24</v>
      </c>
      <c r="K31" s="51" t="s">
        <v>25</v>
      </c>
      <c r="L31" s="51"/>
    </row>
    <row r="32" spans="1:12" ht="12.75">
      <c r="A32" s="5">
        <v>1</v>
      </c>
      <c r="B32" s="5" t="s">
        <v>26</v>
      </c>
      <c r="C32" s="16">
        <f>1432953.8-200000</f>
        <v>1232953.8</v>
      </c>
      <c r="D32" s="19"/>
      <c r="E32" s="19"/>
      <c r="F32" s="54">
        <v>800988.48</v>
      </c>
      <c r="G32" s="50"/>
      <c r="H32" s="49">
        <f aca="true" t="shared" si="6" ref="H32:H37">F32-C32</f>
        <v>-431965.32000000007</v>
      </c>
      <c r="I32" s="50"/>
      <c r="J32" s="13">
        <v>313949.86</v>
      </c>
      <c r="K32" s="49">
        <f aca="true" t="shared" si="7" ref="K32:K38">J32+H32</f>
        <v>-118015.46000000008</v>
      </c>
      <c r="L32" s="50"/>
    </row>
    <row r="33" spans="1:12" ht="12.75">
      <c r="A33" s="5">
        <v>2</v>
      </c>
      <c r="B33" s="5" t="s">
        <v>27</v>
      </c>
      <c r="C33" s="16">
        <f>649113.97+200000</f>
        <v>849113.97</v>
      </c>
      <c r="D33" s="19"/>
      <c r="E33" s="19"/>
      <c r="F33" s="54">
        <v>568093.55</v>
      </c>
      <c r="G33" s="50"/>
      <c r="H33" s="49">
        <f t="shared" si="6"/>
        <v>-281020.4199999999</v>
      </c>
      <c r="I33" s="50"/>
      <c r="J33" s="13">
        <v>260497.14</v>
      </c>
      <c r="K33" s="49">
        <f t="shared" si="7"/>
        <v>-20523.27999999991</v>
      </c>
      <c r="L33" s="50"/>
    </row>
    <row r="34" spans="1:12" ht="12.75">
      <c r="A34" s="5">
        <v>3</v>
      </c>
      <c r="B34" s="5" t="s">
        <v>28</v>
      </c>
      <c r="C34" s="16">
        <v>593473.58</v>
      </c>
      <c r="D34" s="19"/>
      <c r="E34" s="19"/>
      <c r="F34" s="54">
        <v>341438.67</v>
      </c>
      <c r="G34" s="50"/>
      <c r="H34" s="49">
        <f t="shared" si="6"/>
        <v>-252034.90999999997</v>
      </c>
      <c r="I34" s="50"/>
      <c r="J34" s="13">
        <v>176824.7</v>
      </c>
      <c r="K34" s="49">
        <f t="shared" si="7"/>
        <v>-75210.20999999996</v>
      </c>
      <c r="L34" s="50"/>
    </row>
    <row r="35" spans="1:12" ht="12.75">
      <c r="A35" s="5">
        <v>4</v>
      </c>
      <c r="B35" s="5" t="s">
        <v>29</v>
      </c>
      <c r="C35" s="16">
        <v>670149.6</v>
      </c>
      <c r="D35" s="19"/>
      <c r="E35" s="19"/>
      <c r="F35" s="54">
        <v>456838.12</v>
      </c>
      <c r="G35" s="50"/>
      <c r="H35" s="49">
        <f t="shared" si="6"/>
        <v>-213311.47999999998</v>
      </c>
      <c r="I35" s="50"/>
      <c r="J35" s="13"/>
      <c r="K35" s="49">
        <f t="shared" si="7"/>
        <v>-213311.47999999998</v>
      </c>
      <c r="L35" s="50"/>
    </row>
    <row r="36" spans="1:12" ht="12.75">
      <c r="A36" s="5">
        <v>5</v>
      </c>
      <c r="B36" s="5" t="s">
        <v>30</v>
      </c>
      <c r="C36" s="16">
        <v>420153.53</v>
      </c>
      <c r="D36" s="19"/>
      <c r="E36" s="19"/>
      <c r="F36" s="54">
        <v>430486.31</v>
      </c>
      <c r="G36" s="50"/>
      <c r="H36" s="49">
        <f t="shared" si="6"/>
        <v>10332.77999999997</v>
      </c>
      <c r="I36" s="50"/>
      <c r="J36" s="13"/>
      <c r="K36" s="49">
        <f t="shared" si="7"/>
        <v>10332.77999999997</v>
      </c>
      <c r="L36" s="50"/>
    </row>
    <row r="37" spans="1:12" ht="12.75">
      <c r="A37" s="5">
        <v>6</v>
      </c>
      <c r="B37" s="5" t="s">
        <v>51</v>
      </c>
      <c r="C37" s="16">
        <v>107982</v>
      </c>
      <c r="D37" s="19"/>
      <c r="E37" s="19"/>
      <c r="F37" s="49">
        <v>139574.13</v>
      </c>
      <c r="G37" s="50"/>
      <c r="H37" s="49">
        <f t="shared" si="6"/>
        <v>31592.130000000005</v>
      </c>
      <c r="I37" s="50"/>
      <c r="J37" s="13"/>
      <c r="K37" s="49">
        <f t="shared" si="7"/>
        <v>31592.130000000005</v>
      </c>
      <c r="L37" s="50"/>
    </row>
    <row r="38" spans="1:12" ht="20.25" customHeight="1">
      <c r="A38" s="5"/>
      <c r="B38" s="8" t="s">
        <v>31</v>
      </c>
      <c r="C38" s="17">
        <f>SUM(C32:C37)</f>
        <v>3873826.4800000004</v>
      </c>
      <c r="D38" s="17"/>
      <c r="E38" s="17"/>
      <c r="F38" s="44">
        <f>SUM(F32:G37)</f>
        <v>2737419.26</v>
      </c>
      <c r="G38" s="44"/>
      <c r="H38" s="46">
        <f>SUM(H32:H37)</f>
        <v>-1136407.2199999997</v>
      </c>
      <c r="I38" s="47"/>
      <c r="J38" s="18">
        <f>SUM(J32:J37)</f>
        <v>751271.7</v>
      </c>
      <c r="K38" s="46">
        <f t="shared" si="7"/>
        <v>-385135.5199999998</v>
      </c>
      <c r="L38" s="47"/>
    </row>
    <row r="40" spans="1:12" ht="34.5" customHeight="1">
      <c r="A40" s="10" t="s">
        <v>0</v>
      </c>
      <c r="B40" s="75" t="s">
        <v>62</v>
      </c>
      <c r="C40" s="75"/>
      <c r="D40" s="75"/>
      <c r="E40" s="75"/>
      <c r="F40" s="75"/>
      <c r="G40" s="76" t="s">
        <v>37</v>
      </c>
      <c r="H40" s="76"/>
      <c r="I40" s="76"/>
      <c r="J40" s="76"/>
      <c r="K40" s="76"/>
      <c r="L40" s="76"/>
    </row>
    <row r="41" spans="1:12" ht="12.75">
      <c r="A41" s="5">
        <v>1</v>
      </c>
      <c r="B41" s="74" t="s">
        <v>36</v>
      </c>
      <c r="C41" s="74"/>
      <c r="D41" s="74"/>
      <c r="E41" s="74"/>
      <c r="F41" s="74"/>
      <c r="G41" s="73">
        <v>-34081.71</v>
      </c>
      <c r="H41" s="73"/>
      <c r="I41" s="73"/>
      <c r="J41" s="73"/>
      <c r="K41" s="73"/>
      <c r="L41" s="73"/>
    </row>
    <row r="42" spans="1:12" ht="12.75">
      <c r="A42" s="5">
        <v>2</v>
      </c>
      <c r="B42" s="74" t="s">
        <v>34</v>
      </c>
      <c r="C42" s="74"/>
      <c r="D42" s="74"/>
      <c r="E42" s="74"/>
      <c r="F42" s="74"/>
      <c r="G42" s="73">
        <v>-3049.06</v>
      </c>
      <c r="H42" s="73"/>
      <c r="I42" s="73"/>
      <c r="J42" s="73"/>
      <c r="K42" s="73"/>
      <c r="L42" s="73"/>
    </row>
    <row r="43" spans="1:12" ht="12.75">
      <c r="A43" s="5">
        <v>3</v>
      </c>
      <c r="B43" s="74" t="s">
        <v>44</v>
      </c>
      <c r="C43" s="74"/>
      <c r="D43" s="74"/>
      <c r="E43" s="74"/>
      <c r="F43" s="74"/>
      <c r="G43" s="73">
        <v>-72864.49</v>
      </c>
      <c r="H43" s="73"/>
      <c r="I43" s="73"/>
      <c r="J43" s="73"/>
      <c r="K43" s="73"/>
      <c r="L43" s="73"/>
    </row>
    <row r="44" spans="1:12" ht="12.75">
      <c r="A44" s="5">
        <v>4</v>
      </c>
      <c r="B44" s="74" t="s">
        <v>35</v>
      </c>
      <c r="C44" s="74"/>
      <c r="D44" s="74"/>
      <c r="E44" s="74"/>
      <c r="F44" s="74"/>
      <c r="G44" s="73">
        <v>-13307.97</v>
      </c>
      <c r="H44" s="73"/>
      <c r="I44" s="73"/>
      <c r="J44" s="73"/>
      <c r="K44" s="73"/>
      <c r="L44" s="73"/>
    </row>
    <row r="45" spans="1:12" ht="12.75">
      <c r="A45" s="5">
        <v>5</v>
      </c>
      <c r="B45" s="74" t="s">
        <v>46</v>
      </c>
      <c r="C45" s="74"/>
      <c r="D45" s="74"/>
      <c r="E45" s="74"/>
      <c r="F45" s="74"/>
      <c r="G45" s="73">
        <v>-5582.62</v>
      </c>
      <c r="H45" s="73"/>
      <c r="I45" s="73"/>
      <c r="J45" s="73"/>
      <c r="K45" s="73"/>
      <c r="L45" s="73"/>
    </row>
    <row r="46" spans="1:12" ht="12.75">
      <c r="A46" s="5">
        <v>6</v>
      </c>
      <c r="B46" s="74" t="s">
        <v>45</v>
      </c>
      <c r="C46" s="74"/>
      <c r="D46" s="74"/>
      <c r="E46" s="74"/>
      <c r="F46" s="74"/>
      <c r="G46" s="73">
        <v>-3788.45</v>
      </c>
      <c r="H46" s="73"/>
      <c r="I46" s="73"/>
      <c r="J46" s="73"/>
      <c r="K46" s="73"/>
      <c r="L46" s="73"/>
    </row>
    <row r="47" spans="1:12" ht="12.75">
      <c r="A47" s="5">
        <v>7</v>
      </c>
      <c r="B47" s="74" t="s">
        <v>83</v>
      </c>
      <c r="C47" s="74"/>
      <c r="D47" s="74"/>
      <c r="E47" s="74"/>
      <c r="F47" s="74"/>
      <c r="G47" s="73">
        <v>-10741.4</v>
      </c>
      <c r="H47" s="73"/>
      <c r="I47" s="73"/>
      <c r="J47" s="73"/>
      <c r="K47" s="73"/>
      <c r="L47" s="73"/>
    </row>
    <row r="48" spans="1:12" ht="12.75">
      <c r="A48" s="5">
        <v>8</v>
      </c>
      <c r="B48" s="74" t="s">
        <v>38</v>
      </c>
      <c r="C48" s="74"/>
      <c r="D48" s="74"/>
      <c r="E48" s="74"/>
      <c r="F48" s="74"/>
      <c r="G48" s="73">
        <v>-10465.39</v>
      </c>
      <c r="H48" s="73"/>
      <c r="I48" s="73"/>
      <c r="J48" s="73"/>
      <c r="K48" s="73"/>
      <c r="L48" s="73"/>
    </row>
    <row r="49" spans="1:12" ht="12.75">
      <c r="A49" s="5">
        <v>9</v>
      </c>
      <c r="B49" s="77" t="s">
        <v>79</v>
      </c>
      <c r="C49" s="78"/>
      <c r="D49" s="78"/>
      <c r="E49" s="78"/>
      <c r="F49" s="79"/>
      <c r="G49" s="49">
        <v>-207749.64</v>
      </c>
      <c r="H49" s="54"/>
      <c r="I49" s="54"/>
      <c r="J49" s="54"/>
      <c r="K49" s="54"/>
      <c r="L49" s="50"/>
    </row>
    <row r="50" spans="1:12" ht="24.75" customHeight="1">
      <c r="A50" s="5"/>
      <c r="B50" s="39" t="s">
        <v>31</v>
      </c>
      <c r="C50" s="39"/>
      <c r="D50" s="39"/>
      <c r="E50" s="39"/>
      <c r="F50" s="39"/>
      <c r="G50" s="44">
        <f>SUM(G41:G49)</f>
        <v>-361630.73000000004</v>
      </c>
      <c r="H50" s="44"/>
      <c r="I50" s="44"/>
      <c r="J50" s="44"/>
      <c r="K50" s="44"/>
      <c r="L50" s="44"/>
    </row>
    <row r="51" spans="1:12" ht="13.5" customHeight="1">
      <c r="A51" s="25"/>
      <c r="B51" s="26"/>
      <c r="C51" s="26"/>
      <c r="D51" s="26"/>
      <c r="E51" s="26"/>
      <c r="F51" s="26"/>
      <c r="G51" s="27"/>
      <c r="H51" s="27"/>
      <c r="I51" s="27"/>
      <c r="J51" s="27"/>
      <c r="K51" s="27"/>
      <c r="L51" s="27"/>
    </row>
    <row r="52" spans="1:12" ht="26.25" customHeight="1">
      <c r="A52" s="10" t="s">
        <v>0</v>
      </c>
      <c r="B52" s="39" t="s">
        <v>81</v>
      </c>
      <c r="C52" s="39"/>
      <c r="D52" s="39"/>
      <c r="E52" s="39"/>
      <c r="F52" s="39"/>
      <c r="G52" s="40" t="s">
        <v>82</v>
      </c>
      <c r="H52" s="41"/>
      <c r="I52" s="41"/>
      <c r="J52" s="42"/>
      <c r="K52" s="43" t="s">
        <v>33</v>
      </c>
      <c r="L52" s="43"/>
    </row>
    <row r="53" spans="1:12" ht="24.75" customHeight="1">
      <c r="A53" s="5">
        <v>1</v>
      </c>
      <c r="B53" s="44">
        <v>61932.04</v>
      </c>
      <c r="C53" s="44"/>
      <c r="D53" s="44"/>
      <c r="E53" s="44"/>
      <c r="F53" s="44"/>
      <c r="G53" s="44">
        <v>21601.27</v>
      </c>
      <c r="H53" s="44"/>
      <c r="I53" s="44"/>
      <c r="J53" s="44"/>
      <c r="K53" s="45">
        <f>G53-B53</f>
        <v>-40330.770000000004</v>
      </c>
      <c r="L53" s="43"/>
    </row>
    <row r="54" spans="1:12" ht="12.75" customHeight="1">
      <c r="A54" s="25"/>
      <c r="B54" s="26"/>
      <c r="C54" s="26"/>
      <c r="D54" s="26"/>
      <c r="E54" s="26"/>
      <c r="F54" s="26"/>
      <c r="G54" s="27"/>
      <c r="H54" s="27"/>
      <c r="I54" s="27"/>
      <c r="J54" s="27"/>
      <c r="K54" s="27"/>
      <c r="L54" s="27"/>
    </row>
    <row r="55" spans="1:12" ht="20.25" customHeight="1">
      <c r="A55" s="70" t="s">
        <v>39</v>
      </c>
      <c r="B55" s="63"/>
      <c r="C55" s="62"/>
      <c r="D55" s="62"/>
      <c r="E55" s="62"/>
      <c r="F55" s="62"/>
      <c r="G55" s="62"/>
      <c r="H55" s="62"/>
      <c r="I55" s="63"/>
      <c r="J55" s="72" t="s">
        <v>33</v>
      </c>
      <c r="K55" s="72"/>
      <c r="L55" s="72"/>
    </row>
    <row r="56" spans="1:12" ht="24.75" customHeight="1">
      <c r="A56" s="71"/>
      <c r="B56" s="65"/>
      <c r="C56" s="64"/>
      <c r="D56" s="64"/>
      <c r="E56" s="64"/>
      <c r="F56" s="64"/>
      <c r="G56" s="64"/>
      <c r="H56" s="64"/>
      <c r="I56" s="65"/>
      <c r="J56" s="66">
        <f>L29+K38+G50+K53</f>
        <v>-288818.5017399998</v>
      </c>
      <c r="K56" s="67"/>
      <c r="L56" s="68"/>
    </row>
    <row r="58" spans="1:12" ht="12.75">
      <c r="A58" s="69" t="s">
        <v>43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</sheetData>
  <mergeCells count="91">
    <mergeCell ref="B48:F48"/>
    <mergeCell ref="G48:L48"/>
    <mergeCell ref="B50:F50"/>
    <mergeCell ref="G50:L50"/>
    <mergeCell ref="B49:F49"/>
    <mergeCell ref="G49:L49"/>
    <mergeCell ref="B46:F46"/>
    <mergeCell ref="G46:L46"/>
    <mergeCell ref="B47:F47"/>
    <mergeCell ref="G47:L47"/>
    <mergeCell ref="B44:F44"/>
    <mergeCell ref="G44:L44"/>
    <mergeCell ref="B45:F45"/>
    <mergeCell ref="G45:L45"/>
    <mergeCell ref="B42:F42"/>
    <mergeCell ref="G42:L42"/>
    <mergeCell ref="B43:F43"/>
    <mergeCell ref="G43:L43"/>
    <mergeCell ref="B40:F40"/>
    <mergeCell ref="G40:L40"/>
    <mergeCell ref="B41:F41"/>
    <mergeCell ref="G41:L41"/>
    <mergeCell ref="A58:L58"/>
    <mergeCell ref="A55:B56"/>
    <mergeCell ref="J55:L55"/>
    <mergeCell ref="C55:I56"/>
    <mergeCell ref="J56:L56"/>
    <mergeCell ref="J1:L1"/>
    <mergeCell ref="J2:L2"/>
    <mergeCell ref="J3:L3"/>
    <mergeCell ref="J4:L4"/>
    <mergeCell ref="G19:I19"/>
    <mergeCell ref="G20:I20"/>
    <mergeCell ref="H37:I37"/>
    <mergeCell ref="G24:I24"/>
    <mergeCell ref="G25:I25"/>
    <mergeCell ref="G13:I13"/>
    <mergeCell ref="H35:I35"/>
    <mergeCell ref="H36:I36"/>
    <mergeCell ref="G16:I16"/>
    <mergeCell ref="G17:I17"/>
    <mergeCell ref="G14:I14"/>
    <mergeCell ref="G15:I15"/>
    <mergeCell ref="F35:G35"/>
    <mergeCell ref="F36:G36"/>
    <mergeCell ref="G18:I18"/>
    <mergeCell ref="H38:I38"/>
    <mergeCell ref="F38:G38"/>
    <mergeCell ref="G26:I26"/>
    <mergeCell ref="G27:I27"/>
    <mergeCell ref="G28:I28"/>
    <mergeCell ref="G29:I29"/>
    <mergeCell ref="F37:G37"/>
    <mergeCell ref="H31:I31"/>
    <mergeCell ref="F31:G31"/>
    <mergeCell ref="K37:L37"/>
    <mergeCell ref="F34:G34"/>
    <mergeCell ref="H34:I34"/>
    <mergeCell ref="F33:G33"/>
    <mergeCell ref="H33:I33"/>
    <mergeCell ref="A10:J10"/>
    <mergeCell ref="B8:B9"/>
    <mergeCell ref="A8:A9"/>
    <mergeCell ref="F8:F9"/>
    <mergeCell ref="J8:J9"/>
    <mergeCell ref="A7:F7"/>
    <mergeCell ref="F32:G32"/>
    <mergeCell ref="C8:C9"/>
    <mergeCell ref="H32:I32"/>
    <mergeCell ref="G23:I23"/>
    <mergeCell ref="G21:I21"/>
    <mergeCell ref="G22:I22"/>
    <mergeCell ref="G8:I9"/>
    <mergeCell ref="G11:I11"/>
    <mergeCell ref="G12:I12"/>
    <mergeCell ref="K38:L38"/>
    <mergeCell ref="A6:L6"/>
    <mergeCell ref="K33:L33"/>
    <mergeCell ref="K34:L34"/>
    <mergeCell ref="K35:L35"/>
    <mergeCell ref="K36:L36"/>
    <mergeCell ref="L8:L10"/>
    <mergeCell ref="K32:L32"/>
    <mergeCell ref="K31:L31"/>
    <mergeCell ref="K8:K9"/>
    <mergeCell ref="B52:F52"/>
    <mergeCell ref="G52:J52"/>
    <mergeCell ref="K52:L52"/>
    <mergeCell ref="B53:F53"/>
    <mergeCell ref="G53:J53"/>
    <mergeCell ref="K53:L53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46">
      <selection activeCell="K74" sqref="K74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86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f>10793.6+733.7</f>
        <v>11527.300000000001</v>
      </c>
      <c r="G11" s="49">
        <f aca="true" t="shared" si="1" ref="G11:G21">C11*F11*12</f>
        <v>81613.284</v>
      </c>
      <c r="H11" s="54"/>
      <c r="I11" s="50"/>
      <c r="J11" s="14">
        <f aca="true" t="shared" si="2" ref="J11:J28">G11*0.85</f>
        <v>69371.2914</v>
      </c>
      <c r="K11" s="14"/>
      <c r="L11" s="14">
        <f aca="true" t="shared" si="3" ref="L11:L30">J11-K11</f>
        <v>69371.2914</v>
      </c>
    </row>
    <row r="12" spans="1:12" ht="18.75" customHeight="1">
      <c r="A12" s="1">
        <f aca="true" t="shared" si="4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f aca="true" t="shared" si="5" ref="F12:F17">10793.6+733.7</f>
        <v>11527.300000000001</v>
      </c>
      <c r="G12" s="49">
        <f t="shared" si="1"/>
        <v>17954.92248</v>
      </c>
      <c r="H12" s="54"/>
      <c r="I12" s="50"/>
      <c r="J12" s="14">
        <f t="shared" si="2"/>
        <v>15261.684108000001</v>
      </c>
      <c r="K12" s="14"/>
      <c r="L12" s="14">
        <f t="shared" si="3"/>
        <v>15261.684108000001</v>
      </c>
    </row>
    <row r="13" spans="1:12" ht="18.75" customHeight="1">
      <c r="A13" s="1">
        <f t="shared" si="4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f t="shared" si="5"/>
        <v>11527.300000000001</v>
      </c>
      <c r="G13" s="49">
        <f t="shared" si="1"/>
        <v>21219.453840000002</v>
      </c>
      <c r="H13" s="54"/>
      <c r="I13" s="50"/>
      <c r="J13" s="14">
        <f t="shared" si="2"/>
        <v>18036.535764</v>
      </c>
      <c r="K13" s="14"/>
      <c r="L13" s="14">
        <f t="shared" si="3"/>
        <v>18036.535764</v>
      </c>
    </row>
    <row r="14" spans="1:12" ht="26.25" customHeight="1">
      <c r="A14" s="1">
        <f t="shared" si="4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f t="shared" si="5"/>
        <v>11527.300000000001</v>
      </c>
      <c r="G14" s="49">
        <f t="shared" si="1"/>
        <v>58761.56448</v>
      </c>
      <c r="H14" s="54"/>
      <c r="I14" s="50"/>
      <c r="J14" s="14">
        <f t="shared" si="2"/>
        <v>49947.329808</v>
      </c>
      <c r="K14" s="14">
        <v>67748.68</v>
      </c>
      <c r="L14" s="14">
        <f t="shared" si="3"/>
        <v>-17801.35019199999</v>
      </c>
    </row>
    <row r="15" spans="1:12" ht="24.75" customHeight="1">
      <c r="A15" s="1">
        <f t="shared" si="4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f t="shared" si="5"/>
        <v>11527.300000000001</v>
      </c>
      <c r="G15" s="49">
        <f t="shared" si="1"/>
        <v>218723.60112</v>
      </c>
      <c r="H15" s="54"/>
      <c r="I15" s="50"/>
      <c r="J15" s="14">
        <f t="shared" si="2"/>
        <v>185915.060952</v>
      </c>
      <c r="K15" s="14">
        <v>223730.26</v>
      </c>
      <c r="L15" s="14">
        <f t="shared" si="3"/>
        <v>-37815.19904800001</v>
      </c>
    </row>
    <row r="16" spans="1:12" ht="25.5">
      <c r="A16" s="1">
        <f t="shared" si="4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f t="shared" si="5"/>
        <v>11527.300000000001</v>
      </c>
      <c r="G16" s="49">
        <f t="shared" si="1"/>
        <v>107729.53488</v>
      </c>
      <c r="H16" s="54"/>
      <c r="I16" s="50"/>
      <c r="J16" s="14">
        <f t="shared" si="2"/>
        <v>91570.10464800001</v>
      </c>
      <c r="K16" s="14">
        <v>110195.51</v>
      </c>
      <c r="L16" s="14">
        <f t="shared" si="3"/>
        <v>-18625.405351999987</v>
      </c>
    </row>
    <row r="17" spans="1:12" ht="22.5" customHeight="1">
      <c r="A17" s="1">
        <f t="shared" si="4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f t="shared" si="5"/>
        <v>11527.300000000001</v>
      </c>
      <c r="G17" s="49">
        <f t="shared" si="1"/>
        <v>110994.06624000001</v>
      </c>
      <c r="H17" s="54"/>
      <c r="I17" s="50"/>
      <c r="J17" s="14">
        <f t="shared" si="2"/>
        <v>94344.956304</v>
      </c>
      <c r="K17" s="14">
        <v>93913.26</v>
      </c>
      <c r="L17" s="14">
        <f t="shared" si="3"/>
        <v>431.6963040000119</v>
      </c>
    </row>
    <row r="18" spans="1:12" ht="18.75" customHeight="1">
      <c r="A18" s="1">
        <f t="shared" si="4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10793.6</v>
      </c>
      <c r="G18" s="49">
        <f t="shared" si="1"/>
        <v>490607.97696</v>
      </c>
      <c r="H18" s="54"/>
      <c r="I18" s="50"/>
      <c r="J18" s="14">
        <f t="shared" si="2"/>
        <v>417016.780416</v>
      </c>
      <c r="K18" s="14">
        <v>456444.6</v>
      </c>
      <c r="L18" s="14">
        <f t="shared" si="3"/>
        <v>-39427.81958399998</v>
      </c>
    </row>
    <row r="19" spans="1:12" ht="25.5">
      <c r="A19" s="1">
        <f t="shared" si="4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10793.6</v>
      </c>
      <c r="G19" s="49">
        <f t="shared" si="1"/>
        <v>675541.2019199999</v>
      </c>
      <c r="H19" s="54"/>
      <c r="I19" s="50"/>
      <c r="J19" s="14">
        <f t="shared" si="2"/>
        <v>574210.0216319999</v>
      </c>
      <c r="K19" s="14">
        <v>381041.15</v>
      </c>
      <c r="L19" s="14">
        <f t="shared" si="3"/>
        <v>193168.87163199985</v>
      </c>
    </row>
    <row r="20" spans="1:12" ht="53.25" customHeight="1">
      <c r="A20" s="1">
        <f t="shared" si="4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f aca="true" t="shared" si="6" ref="F20:F28">10793.6+733.7</f>
        <v>11527.300000000001</v>
      </c>
      <c r="G20" s="49">
        <f t="shared" si="1"/>
        <v>316659.54192</v>
      </c>
      <c r="H20" s="54"/>
      <c r="I20" s="50"/>
      <c r="J20" s="14">
        <f t="shared" si="2"/>
        <v>269160.61063199997</v>
      </c>
      <c r="K20" s="14">
        <v>453072.21</v>
      </c>
      <c r="L20" s="14">
        <f t="shared" si="3"/>
        <v>-183911.59936800005</v>
      </c>
    </row>
    <row r="21" spans="1:12" ht="19.5" customHeight="1">
      <c r="A21" s="1">
        <v>11</v>
      </c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10793.6</v>
      </c>
      <c r="G21" s="49">
        <f t="shared" si="1"/>
        <v>166592.73984</v>
      </c>
      <c r="H21" s="54"/>
      <c r="I21" s="50"/>
      <c r="J21" s="14">
        <f t="shared" si="2"/>
        <v>141603.82886399998</v>
      </c>
      <c r="K21" s="14"/>
      <c r="L21" s="14">
        <f t="shared" si="3"/>
        <v>141603.82886399998</v>
      </c>
    </row>
    <row r="22" spans="1:12" ht="24.75" customHeight="1">
      <c r="A22" s="1">
        <v>12</v>
      </c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f t="shared" si="6"/>
        <v>11527.300000000001</v>
      </c>
      <c r="G22" s="49">
        <f>C22*F22*8</f>
        <v>619172.78128</v>
      </c>
      <c r="H22" s="54"/>
      <c r="I22" s="50"/>
      <c r="J22" s="14">
        <f t="shared" si="2"/>
        <v>526296.864088</v>
      </c>
      <c r="K22" s="14">
        <v>431928</v>
      </c>
      <c r="L22" s="14">
        <f t="shared" si="3"/>
        <v>94368.86408800003</v>
      </c>
    </row>
    <row r="23" spans="1:12" ht="18.75" customHeight="1">
      <c r="A23" s="1">
        <v>13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f t="shared" si="6"/>
        <v>11527.300000000001</v>
      </c>
      <c r="G23" s="49">
        <f aca="true" t="shared" si="7" ref="G23:G28">C23*F23*12</f>
        <v>155065.2396</v>
      </c>
      <c r="H23" s="54"/>
      <c r="I23" s="50"/>
      <c r="J23" s="14">
        <f t="shared" si="2"/>
        <v>131805.45366</v>
      </c>
      <c r="K23" s="14">
        <v>225000</v>
      </c>
      <c r="L23" s="14">
        <f t="shared" si="3"/>
        <v>-93194.54634</v>
      </c>
    </row>
    <row r="24" spans="1:12" ht="18.75" customHeight="1">
      <c r="A24" s="1">
        <v>14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10793.6</v>
      </c>
      <c r="G24" s="49">
        <f t="shared" si="7"/>
        <v>41266.09152</v>
      </c>
      <c r="H24" s="54"/>
      <c r="I24" s="50"/>
      <c r="J24" s="14">
        <f t="shared" si="2"/>
        <v>35076.177792</v>
      </c>
      <c r="K24" s="14">
        <v>65990.43</v>
      </c>
      <c r="L24" s="14">
        <f t="shared" si="3"/>
        <v>-30914.25220799999</v>
      </c>
    </row>
    <row r="25" spans="1:12" ht="27.75" customHeight="1">
      <c r="A25" s="1">
        <v>15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f t="shared" si="6"/>
        <v>11527.300000000001</v>
      </c>
      <c r="G25" s="49">
        <f t="shared" si="7"/>
        <v>285646.494</v>
      </c>
      <c r="H25" s="54"/>
      <c r="I25" s="50"/>
      <c r="J25" s="14">
        <f t="shared" si="2"/>
        <v>242799.51989999998</v>
      </c>
      <c r="K25" s="14">
        <v>72050.02</v>
      </c>
      <c r="L25" s="14">
        <f t="shared" si="3"/>
        <v>170749.4999</v>
      </c>
    </row>
    <row r="26" spans="1:12" ht="38.25">
      <c r="A26" s="1">
        <v>16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f t="shared" si="6"/>
        <v>11527.300000000001</v>
      </c>
      <c r="G26" s="49">
        <f t="shared" si="7"/>
        <v>60393.830160000005</v>
      </c>
      <c r="H26" s="54"/>
      <c r="I26" s="50"/>
      <c r="J26" s="14">
        <f t="shared" si="2"/>
        <v>51334.755636</v>
      </c>
      <c r="K26" s="14">
        <v>15233.43</v>
      </c>
      <c r="L26" s="14">
        <f t="shared" si="3"/>
        <v>36101.325636</v>
      </c>
    </row>
    <row r="27" spans="1:12" ht="38.25">
      <c r="A27" s="1">
        <v>17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f t="shared" si="6"/>
        <v>11527.300000000001</v>
      </c>
      <c r="G27" s="49">
        <f t="shared" si="7"/>
        <v>158329.77096</v>
      </c>
      <c r="H27" s="54"/>
      <c r="I27" s="50"/>
      <c r="J27" s="14">
        <f t="shared" si="2"/>
        <v>134580.30531599998</v>
      </c>
      <c r="K27" s="14">
        <v>39936.3</v>
      </c>
      <c r="L27" s="14">
        <f t="shared" si="3"/>
        <v>94644.00531599998</v>
      </c>
    </row>
    <row r="28" spans="1:12" ht="25.5" customHeight="1">
      <c r="A28" s="1">
        <f>A27+1</f>
        <v>18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f t="shared" si="6"/>
        <v>11527.300000000001</v>
      </c>
      <c r="G28" s="49">
        <f t="shared" si="7"/>
        <v>84877.81536000001</v>
      </c>
      <c r="H28" s="54"/>
      <c r="I28" s="50"/>
      <c r="J28" s="14">
        <f t="shared" si="2"/>
        <v>72146.143056</v>
      </c>
      <c r="K28" s="14">
        <v>21409.15</v>
      </c>
      <c r="L28" s="14">
        <f t="shared" si="3"/>
        <v>50736.993056</v>
      </c>
    </row>
    <row r="29" spans="1:12" ht="25.5" customHeight="1">
      <c r="A29" s="1">
        <f>A28+1</f>
        <v>19</v>
      </c>
      <c r="B29" s="3" t="s">
        <v>50</v>
      </c>
      <c r="C29" s="2"/>
      <c r="D29" s="4"/>
      <c r="E29" s="2"/>
      <c r="F29" s="12"/>
      <c r="G29" s="49"/>
      <c r="H29" s="54"/>
      <c r="I29" s="50"/>
      <c r="J29" s="14"/>
      <c r="K29" s="14">
        <v>255932</v>
      </c>
      <c r="L29" s="14">
        <f t="shared" si="3"/>
        <v>-255932</v>
      </c>
    </row>
    <row r="30" spans="1:12" ht="20.25" customHeight="1">
      <c r="A30" s="5"/>
      <c r="B30" s="6" t="s">
        <v>48</v>
      </c>
      <c r="C30" s="23">
        <f>SUM(C11:C28)</f>
        <v>29.4528</v>
      </c>
      <c r="D30" s="23"/>
      <c r="E30" s="23"/>
      <c r="F30" s="24"/>
      <c r="G30" s="44">
        <f>SUM(G11:I29)</f>
        <v>3671149.910559999</v>
      </c>
      <c r="H30" s="44"/>
      <c r="I30" s="44"/>
      <c r="J30" s="22">
        <f>SUM(J11:J29)</f>
        <v>3120477.4239760004</v>
      </c>
      <c r="K30" s="22">
        <f>SUM(K11:K29)</f>
        <v>2913625</v>
      </c>
      <c r="L30" s="18">
        <f t="shared" si="3"/>
        <v>206852.4239760004</v>
      </c>
    </row>
    <row r="32" spans="1:12" ht="21.75" customHeight="1">
      <c r="A32" s="10" t="s">
        <v>0</v>
      </c>
      <c r="B32" s="7" t="s">
        <v>20</v>
      </c>
      <c r="C32" s="15" t="s">
        <v>21</v>
      </c>
      <c r="D32" s="15"/>
      <c r="E32" s="15"/>
      <c r="F32" s="61" t="s">
        <v>22</v>
      </c>
      <c r="G32" s="61"/>
      <c r="H32" s="32" t="s">
        <v>23</v>
      </c>
      <c r="I32" s="33"/>
      <c r="J32" s="7" t="s">
        <v>24</v>
      </c>
      <c r="K32" s="51" t="s">
        <v>25</v>
      </c>
      <c r="L32" s="51"/>
    </row>
    <row r="33" spans="1:12" ht="12.75">
      <c r="A33" s="5">
        <v>1</v>
      </c>
      <c r="B33" s="5" t="s">
        <v>26</v>
      </c>
      <c r="C33" s="16">
        <v>2201106.07</v>
      </c>
      <c r="D33" s="19"/>
      <c r="E33" s="19"/>
      <c r="F33" s="54">
        <v>1618046.325</v>
      </c>
      <c r="G33" s="50"/>
      <c r="H33" s="49">
        <f aca="true" t="shared" si="8" ref="H33:H38">F33-C33</f>
        <v>-583059.7449999999</v>
      </c>
      <c r="I33" s="50"/>
      <c r="J33" s="13">
        <v>130658.08</v>
      </c>
      <c r="K33" s="49">
        <f aca="true" t="shared" si="9" ref="K33:K39">J33+H33</f>
        <v>-452401.66499999986</v>
      </c>
      <c r="L33" s="50"/>
    </row>
    <row r="34" spans="1:12" ht="12.75">
      <c r="A34" s="5">
        <v>2</v>
      </c>
      <c r="B34" s="5" t="s">
        <v>27</v>
      </c>
      <c r="C34" s="16">
        <v>1404217.68</v>
      </c>
      <c r="D34" s="19"/>
      <c r="E34" s="19"/>
      <c r="F34" s="54">
        <v>1310249.565</v>
      </c>
      <c r="G34" s="50"/>
      <c r="H34" s="49">
        <f t="shared" si="8"/>
        <v>-93968.11499999999</v>
      </c>
      <c r="I34" s="50"/>
      <c r="J34" s="13"/>
      <c r="K34" s="49">
        <f t="shared" si="9"/>
        <v>-93968.11499999999</v>
      </c>
      <c r="L34" s="50"/>
    </row>
    <row r="35" spans="1:12" ht="12.75">
      <c r="A35" s="5">
        <v>3</v>
      </c>
      <c r="B35" s="5" t="s">
        <v>28</v>
      </c>
      <c r="C35" s="16">
        <v>824459.62</v>
      </c>
      <c r="D35" s="19"/>
      <c r="E35" s="19"/>
      <c r="F35" s="54">
        <v>510992.01</v>
      </c>
      <c r="G35" s="50"/>
      <c r="H35" s="49">
        <f t="shared" si="8"/>
        <v>-313467.61</v>
      </c>
      <c r="I35" s="50"/>
      <c r="J35" s="13">
        <v>229728.82</v>
      </c>
      <c r="K35" s="49">
        <f t="shared" si="9"/>
        <v>-83738.78999999998</v>
      </c>
      <c r="L35" s="50"/>
    </row>
    <row r="36" spans="1:12" ht="12.75">
      <c r="A36" s="5">
        <v>4</v>
      </c>
      <c r="B36" s="5" t="s">
        <v>29</v>
      </c>
      <c r="C36" s="16">
        <v>912666.93</v>
      </c>
      <c r="D36" s="19"/>
      <c r="E36" s="19"/>
      <c r="F36" s="54">
        <v>812511.36</v>
      </c>
      <c r="G36" s="50"/>
      <c r="H36" s="49">
        <f t="shared" si="8"/>
        <v>-100155.57000000007</v>
      </c>
      <c r="I36" s="50"/>
      <c r="J36" s="13"/>
      <c r="K36" s="49">
        <f t="shared" si="9"/>
        <v>-100155.57000000007</v>
      </c>
      <c r="L36" s="50"/>
    </row>
    <row r="37" spans="1:12" ht="12.75">
      <c r="A37" s="5">
        <v>5</v>
      </c>
      <c r="B37" s="5" t="s">
        <v>30</v>
      </c>
      <c r="C37" s="16">
        <v>1089021.8</v>
      </c>
      <c r="D37" s="19"/>
      <c r="E37" s="19"/>
      <c r="F37" s="54">
        <v>1325236.11</v>
      </c>
      <c r="G37" s="50"/>
      <c r="H37" s="49">
        <f t="shared" si="8"/>
        <v>236214.31000000006</v>
      </c>
      <c r="I37" s="50"/>
      <c r="J37" s="13"/>
      <c r="K37" s="49">
        <f t="shared" si="9"/>
        <v>236214.31000000006</v>
      </c>
      <c r="L37" s="50"/>
    </row>
    <row r="38" spans="1:12" ht="12.75">
      <c r="A38" s="5">
        <v>6</v>
      </c>
      <c r="B38" s="5" t="s">
        <v>51</v>
      </c>
      <c r="C38" s="16">
        <v>215964</v>
      </c>
      <c r="D38" s="19"/>
      <c r="E38" s="19"/>
      <c r="F38" s="49">
        <v>251970.76</v>
      </c>
      <c r="G38" s="50"/>
      <c r="H38" s="49">
        <f t="shared" si="8"/>
        <v>36006.76000000001</v>
      </c>
      <c r="I38" s="50"/>
      <c r="J38" s="13"/>
      <c r="K38" s="49">
        <f t="shared" si="9"/>
        <v>36006.76000000001</v>
      </c>
      <c r="L38" s="50"/>
    </row>
    <row r="39" spans="1:12" ht="20.25" customHeight="1">
      <c r="A39" s="5"/>
      <c r="B39" s="8" t="s">
        <v>31</v>
      </c>
      <c r="C39" s="17">
        <f>SUM(C33:C38)</f>
        <v>6647436.1</v>
      </c>
      <c r="D39" s="17"/>
      <c r="E39" s="17"/>
      <c r="F39" s="44">
        <f>SUM(F33:G38)</f>
        <v>5829006.13</v>
      </c>
      <c r="G39" s="44"/>
      <c r="H39" s="46">
        <f>SUM(H33:H38)</f>
        <v>-818429.97</v>
      </c>
      <c r="I39" s="47"/>
      <c r="J39" s="18">
        <f>SUM(J33:J38)</f>
        <v>360386.9</v>
      </c>
      <c r="K39" s="46">
        <f t="shared" si="9"/>
        <v>-458043.06999999995</v>
      </c>
      <c r="L39" s="47"/>
    </row>
    <row r="41" spans="1:12" ht="34.5" customHeight="1">
      <c r="A41" s="10" t="s">
        <v>0</v>
      </c>
      <c r="B41" s="75" t="s">
        <v>64</v>
      </c>
      <c r="C41" s="75"/>
      <c r="D41" s="75"/>
      <c r="E41" s="75"/>
      <c r="F41" s="75"/>
      <c r="G41" s="76" t="s">
        <v>37</v>
      </c>
      <c r="H41" s="76"/>
      <c r="I41" s="76"/>
      <c r="J41" s="76"/>
      <c r="K41" s="76"/>
      <c r="L41" s="76"/>
    </row>
    <row r="42" spans="1:12" ht="12.75">
      <c r="A42" s="5">
        <v>1</v>
      </c>
      <c r="B42" s="74" t="s">
        <v>36</v>
      </c>
      <c r="C42" s="74"/>
      <c r="D42" s="74"/>
      <c r="E42" s="74"/>
      <c r="F42" s="74"/>
      <c r="G42" s="73">
        <v>-55280.54</v>
      </c>
      <c r="H42" s="73"/>
      <c r="I42" s="73"/>
      <c r="J42" s="73"/>
      <c r="K42" s="73"/>
      <c r="L42" s="73"/>
    </row>
    <row r="43" spans="1:12" ht="12.75">
      <c r="A43" s="5">
        <v>2</v>
      </c>
      <c r="B43" s="74" t="s">
        <v>34</v>
      </c>
      <c r="C43" s="74"/>
      <c r="D43" s="74"/>
      <c r="E43" s="74"/>
      <c r="F43" s="74"/>
      <c r="G43" s="73">
        <v>-4945.58</v>
      </c>
      <c r="H43" s="73"/>
      <c r="I43" s="73"/>
      <c r="J43" s="73"/>
      <c r="K43" s="73"/>
      <c r="L43" s="73"/>
    </row>
    <row r="44" spans="1:12" ht="12.75">
      <c r="A44" s="5">
        <v>3</v>
      </c>
      <c r="B44" s="74" t="s">
        <v>44</v>
      </c>
      <c r="C44" s="74"/>
      <c r="D44" s="74"/>
      <c r="E44" s="74"/>
      <c r="F44" s="74"/>
      <c r="G44" s="73">
        <v>-118186.22</v>
      </c>
      <c r="H44" s="73"/>
      <c r="I44" s="73"/>
      <c r="J44" s="73"/>
      <c r="K44" s="73"/>
      <c r="L44" s="73"/>
    </row>
    <row r="45" spans="1:12" ht="12.75">
      <c r="A45" s="5">
        <v>4</v>
      </c>
      <c r="B45" s="74" t="s">
        <v>35</v>
      </c>
      <c r="C45" s="74"/>
      <c r="D45" s="74"/>
      <c r="E45" s="74"/>
      <c r="F45" s="74"/>
      <c r="G45" s="73">
        <v>-21585.53</v>
      </c>
      <c r="H45" s="73"/>
      <c r="I45" s="73"/>
      <c r="J45" s="73"/>
      <c r="K45" s="73"/>
      <c r="L45" s="73"/>
    </row>
    <row r="46" spans="1:12" ht="12.75">
      <c r="A46" s="5">
        <v>5</v>
      </c>
      <c r="B46" s="74" t="s">
        <v>46</v>
      </c>
      <c r="C46" s="74"/>
      <c r="D46" s="74"/>
      <c r="E46" s="74"/>
      <c r="F46" s="74"/>
      <c r="G46" s="73">
        <v>-9055</v>
      </c>
      <c r="H46" s="73"/>
      <c r="I46" s="73"/>
      <c r="J46" s="73"/>
      <c r="K46" s="73"/>
      <c r="L46" s="73"/>
    </row>
    <row r="47" spans="1:12" ht="12.75">
      <c r="A47" s="5">
        <v>6</v>
      </c>
      <c r="B47" s="74" t="s">
        <v>45</v>
      </c>
      <c r="C47" s="74"/>
      <c r="D47" s="74"/>
      <c r="E47" s="74"/>
      <c r="F47" s="74"/>
      <c r="G47" s="73">
        <v>-6144.86</v>
      </c>
      <c r="H47" s="73"/>
      <c r="I47" s="73"/>
      <c r="J47" s="73"/>
      <c r="K47" s="73"/>
      <c r="L47" s="73"/>
    </row>
    <row r="48" spans="1:12" ht="12.75">
      <c r="A48" s="5">
        <v>7</v>
      </c>
      <c r="B48" s="74" t="s">
        <v>83</v>
      </c>
      <c r="C48" s="74"/>
      <c r="D48" s="74"/>
      <c r="E48" s="74"/>
      <c r="F48" s="74"/>
      <c r="G48" s="73">
        <v>-17422.55</v>
      </c>
      <c r="H48" s="73"/>
      <c r="I48" s="73"/>
      <c r="J48" s="73"/>
      <c r="K48" s="73"/>
      <c r="L48" s="73"/>
    </row>
    <row r="49" spans="1:12" ht="12.75">
      <c r="A49" s="5">
        <v>8</v>
      </c>
      <c r="B49" s="74" t="s">
        <v>38</v>
      </c>
      <c r="C49" s="74"/>
      <c r="D49" s="74"/>
      <c r="E49" s="74"/>
      <c r="F49" s="74"/>
      <c r="G49" s="73">
        <v>-16974.87</v>
      </c>
      <c r="H49" s="73"/>
      <c r="I49" s="73"/>
      <c r="J49" s="73"/>
      <c r="K49" s="73"/>
      <c r="L49" s="73"/>
    </row>
    <row r="50" spans="1:12" ht="12.75">
      <c r="A50" s="5">
        <v>9</v>
      </c>
      <c r="B50" s="77" t="s">
        <v>79</v>
      </c>
      <c r="C50" s="78"/>
      <c r="D50" s="78"/>
      <c r="E50" s="78"/>
      <c r="F50" s="79"/>
      <c r="G50" s="49">
        <v>-341092.23</v>
      </c>
      <c r="H50" s="54"/>
      <c r="I50" s="54"/>
      <c r="J50" s="54"/>
      <c r="K50" s="54"/>
      <c r="L50" s="50"/>
    </row>
    <row r="51" spans="1:12" ht="24.75" customHeight="1">
      <c r="A51" s="5"/>
      <c r="B51" s="39" t="s">
        <v>31</v>
      </c>
      <c r="C51" s="39"/>
      <c r="D51" s="39"/>
      <c r="E51" s="39"/>
      <c r="F51" s="39"/>
      <c r="G51" s="44">
        <f>SUM(G42:G50)</f>
        <v>-590687.3799999999</v>
      </c>
      <c r="H51" s="44"/>
      <c r="I51" s="44"/>
      <c r="J51" s="44"/>
      <c r="K51" s="44"/>
      <c r="L51" s="44"/>
    </row>
    <row r="52" spans="1:12" ht="9.75" customHeight="1">
      <c r="A52" s="25"/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</row>
    <row r="53" spans="1:12" ht="26.25" customHeight="1">
      <c r="A53" s="10" t="s">
        <v>0</v>
      </c>
      <c r="B53" s="39" t="s">
        <v>81</v>
      </c>
      <c r="C53" s="39"/>
      <c r="D53" s="39"/>
      <c r="E53" s="39"/>
      <c r="F53" s="39"/>
      <c r="G53" s="40" t="s">
        <v>82</v>
      </c>
      <c r="H53" s="41"/>
      <c r="I53" s="41"/>
      <c r="J53" s="42"/>
      <c r="K53" s="43" t="s">
        <v>33</v>
      </c>
      <c r="L53" s="43"/>
    </row>
    <row r="54" spans="1:12" ht="24.75" customHeight="1">
      <c r="A54" s="5">
        <v>1</v>
      </c>
      <c r="B54" s="44">
        <v>125221.49</v>
      </c>
      <c r="C54" s="44"/>
      <c r="D54" s="44"/>
      <c r="E54" s="44"/>
      <c r="F54" s="44"/>
      <c r="G54" s="44">
        <v>43675.99</v>
      </c>
      <c r="H54" s="44"/>
      <c r="I54" s="44"/>
      <c r="J54" s="44"/>
      <c r="K54" s="45">
        <f>G54-B54</f>
        <v>-81545.5</v>
      </c>
      <c r="L54" s="43"/>
    </row>
    <row r="55" spans="1:12" ht="10.5" customHeight="1">
      <c r="A55" s="25"/>
      <c r="B55" s="26"/>
      <c r="C55" s="26"/>
      <c r="D55" s="26"/>
      <c r="E55" s="26"/>
      <c r="F55" s="26"/>
      <c r="G55" s="27"/>
      <c r="H55" s="27"/>
      <c r="I55" s="27"/>
      <c r="J55" s="27"/>
      <c r="K55" s="27"/>
      <c r="L55" s="27"/>
    </row>
    <row r="56" spans="1:12" ht="20.25" customHeight="1">
      <c r="A56" s="70" t="s">
        <v>39</v>
      </c>
      <c r="B56" s="63"/>
      <c r="C56" s="62"/>
      <c r="D56" s="62"/>
      <c r="E56" s="62"/>
      <c r="F56" s="62"/>
      <c r="G56" s="62"/>
      <c r="H56" s="62"/>
      <c r="I56" s="63"/>
      <c r="J56" s="72" t="s">
        <v>33</v>
      </c>
      <c r="K56" s="72"/>
      <c r="L56" s="72"/>
    </row>
    <row r="57" spans="1:12" ht="24.75" customHeight="1">
      <c r="A57" s="71"/>
      <c r="B57" s="65"/>
      <c r="C57" s="64"/>
      <c r="D57" s="64"/>
      <c r="E57" s="64"/>
      <c r="F57" s="64"/>
      <c r="G57" s="64"/>
      <c r="H57" s="64"/>
      <c r="I57" s="65"/>
      <c r="J57" s="66">
        <f>L30+K39+G51+K54</f>
        <v>-923423.5260239994</v>
      </c>
      <c r="K57" s="67"/>
      <c r="L57" s="68"/>
    </row>
    <row r="59" spans="1:12" ht="12.75">
      <c r="A59" s="69" t="s">
        <v>43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</sheetData>
  <mergeCells count="92">
    <mergeCell ref="K39:L39"/>
    <mergeCell ref="A6:L6"/>
    <mergeCell ref="K34:L34"/>
    <mergeCell ref="K35:L35"/>
    <mergeCell ref="K36:L36"/>
    <mergeCell ref="K37:L37"/>
    <mergeCell ref="L8:L10"/>
    <mergeCell ref="K33:L33"/>
    <mergeCell ref="K32:L32"/>
    <mergeCell ref="K8:K9"/>
    <mergeCell ref="A7:F7"/>
    <mergeCell ref="F33:G33"/>
    <mergeCell ref="C8:C9"/>
    <mergeCell ref="H33:I33"/>
    <mergeCell ref="G23:I23"/>
    <mergeCell ref="G21:I21"/>
    <mergeCell ref="G22:I22"/>
    <mergeCell ref="G8:I9"/>
    <mergeCell ref="G11:I11"/>
    <mergeCell ref="G12:I12"/>
    <mergeCell ref="A10:J10"/>
    <mergeCell ref="B8:B9"/>
    <mergeCell ref="A8:A9"/>
    <mergeCell ref="F8:F9"/>
    <mergeCell ref="J8:J9"/>
    <mergeCell ref="K38:L38"/>
    <mergeCell ref="F35:G35"/>
    <mergeCell ref="H35:I35"/>
    <mergeCell ref="F34:G34"/>
    <mergeCell ref="H34:I34"/>
    <mergeCell ref="H39:I39"/>
    <mergeCell ref="F39:G39"/>
    <mergeCell ref="G26:I26"/>
    <mergeCell ref="G27:I27"/>
    <mergeCell ref="G28:I28"/>
    <mergeCell ref="G30:I30"/>
    <mergeCell ref="F38:G38"/>
    <mergeCell ref="H32:I32"/>
    <mergeCell ref="F32:G32"/>
    <mergeCell ref="G13:I13"/>
    <mergeCell ref="H36:I36"/>
    <mergeCell ref="H37:I37"/>
    <mergeCell ref="G16:I16"/>
    <mergeCell ref="G17:I17"/>
    <mergeCell ref="G14:I14"/>
    <mergeCell ref="G15:I15"/>
    <mergeCell ref="F36:G36"/>
    <mergeCell ref="F37:G37"/>
    <mergeCell ref="G18:I18"/>
    <mergeCell ref="G19:I19"/>
    <mergeCell ref="G20:I20"/>
    <mergeCell ref="H38:I38"/>
    <mergeCell ref="G24:I24"/>
    <mergeCell ref="G25:I25"/>
    <mergeCell ref="G29:I29"/>
    <mergeCell ref="J1:L1"/>
    <mergeCell ref="J2:L2"/>
    <mergeCell ref="J3:L3"/>
    <mergeCell ref="J4:L4"/>
    <mergeCell ref="A59:L59"/>
    <mergeCell ref="A56:B57"/>
    <mergeCell ref="J56:L56"/>
    <mergeCell ref="C56:I57"/>
    <mergeCell ref="J57:L57"/>
    <mergeCell ref="B41:F41"/>
    <mergeCell ref="G41:L41"/>
    <mergeCell ref="B42:F42"/>
    <mergeCell ref="G42:L42"/>
    <mergeCell ref="B43:F43"/>
    <mergeCell ref="G43:L43"/>
    <mergeCell ref="B44:F44"/>
    <mergeCell ref="G44:L44"/>
    <mergeCell ref="B45:F45"/>
    <mergeCell ref="G45:L45"/>
    <mergeCell ref="B46:F46"/>
    <mergeCell ref="G46:L46"/>
    <mergeCell ref="B47:F47"/>
    <mergeCell ref="G47:L47"/>
    <mergeCell ref="B48:F48"/>
    <mergeCell ref="G48:L48"/>
    <mergeCell ref="B49:F49"/>
    <mergeCell ref="G49:L49"/>
    <mergeCell ref="B51:F51"/>
    <mergeCell ref="G51:L51"/>
    <mergeCell ref="B50:F50"/>
    <mergeCell ref="G50:L50"/>
    <mergeCell ref="B53:F53"/>
    <mergeCell ref="G53:J53"/>
    <mergeCell ref="K53:L53"/>
    <mergeCell ref="B54:F54"/>
    <mergeCell ref="G54:J54"/>
    <mergeCell ref="K54:L54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43">
      <selection activeCell="O18" sqref="O18"/>
    </sheetView>
  </sheetViews>
  <sheetFormatPr defaultColWidth="9.140625" defaultRowHeight="12.75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75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56</v>
      </c>
      <c r="H8" s="58"/>
      <c r="I8" s="59"/>
      <c r="J8" s="52" t="s">
        <v>63</v>
      </c>
      <c r="K8" s="52" t="s">
        <v>57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v>10702.9</v>
      </c>
      <c r="G11" s="49">
        <f aca="true" t="shared" si="1" ref="G11:G21">C11*F11*12</f>
        <v>75776.53199999999</v>
      </c>
      <c r="H11" s="54"/>
      <c r="I11" s="50"/>
      <c r="J11" s="14">
        <f aca="true" t="shared" si="2" ref="J11:J28">G11*0.85</f>
        <v>64410.05219999999</v>
      </c>
      <c r="K11" s="14"/>
      <c r="L11" s="14">
        <f aca="true" t="shared" si="3" ref="L11:L29">J11-K11</f>
        <v>64410.05219999999</v>
      </c>
    </row>
    <row r="12" spans="1:12" ht="18.75" customHeight="1">
      <c r="A12" s="1">
        <f aca="true" t="shared" si="4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10702.9</v>
      </c>
      <c r="G12" s="49">
        <f t="shared" si="1"/>
        <v>16670.83704</v>
      </c>
      <c r="H12" s="54"/>
      <c r="I12" s="50"/>
      <c r="J12" s="14">
        <f t="shared" si="2"/>
        <v>14170.211483999998</v>
      </c>
      <c r="K12" s="14"/>
      <c r="L12" s="14">
        <f t="shared" si="3"/>
        <v>14170.211483999998</v>
      </c>
    </row>
    <row r="13" spans="1:12" ht="18.75" customHeight="1">
      <c r="A13" s="1">
        <f t="shared" si="4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10702.9</v>
      </c>
      <c r="G13" s="49">
        <f t="shared" si="1"/>
        <v>19701.89832</v>
      </c>
      <c r="H13" s="54"/>
      <c r="I13" s="50"/>
      <c r="J13" s="14">
        <f t="shared" si="2"/>
        <v>16746.613572</v>
      </c>
      <c r="K13" s="14"/>
      <c r="L13" s="14">
        <f t="shared" si="3"/>
        <v>16746.613572</v>
      </c>
    </row>
    <row r="14" spans="1:12" ht="26.25" customHeight="1">
      <c r="A14" s="1">
        <f t="shared" si="4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10702.9</v>
      </c>
      <c r="G14" s="49">
        <f t="shared" si="1"/>
        <v>54559.10303999999</v>
      </c>
      <c r="H14" s="54"/>
      <c r="I14" s="50"/>
      <c r="J14" s="14">
        <f t="shared" si="2"/>
        <v>46375.23758399999</v>
      </c>
      <c r="K14" s="14">
        <v>67179.38</v>
      </c>
      <c r="L14" s="14">
        <f t="shared" si="3"/>
        <v>-20804.142416000017</v>
      </c>
    </row>
    <row r="15" spans="1:12" ht="24.75" customHeight="1">
      <c r="A15" s="1">
        <f t="shared" si="4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10702.9</v>
      </c>
      <c r="G15" s="49">
        <f t="shared" si="1"/>
        <v>203081.10575999998</v>
      </c>
      <c r="H15" s="54"/>
      <c r="I15" s="50"/>
      <c r="J15" s="14">
        <f t="shared" si="2"/>
        <v>172618.93989599997</v>
      </c>
      <c r="K15" s="14">
        <v>221850.23</v>
      </c>
      <c r="L15" s="14">
        <f t="shared" si="3"/>
        <v>-49231.29010400004</v>
      </c>
    </row>
    <row r="16" spans="1:12" ht="25.5">
      <c r="A16" s="1">
        <f t="shared" si="4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10702.9</v>
      </c>
      <c r="G16" s="49">
        <f t="shared" si="1"/>
        <v>100025.02224000002</v>
      </c>
      <c r="H16" s="54"/>
      <c r="I16" s="50"/>
      <c r="J16" s="14">
        <f t="shared" si="2"/>
        <v>85021.26890400001</v>
      </c>
      <c r="K16" s="14">
        <v>109269.52</v>
      </c>
      <c r="L16" s="14">
        <f t="shared" si="3"/>
        <v>-24248.251095999993</v>
      </c>
    </row>
    <row r="17" spans="1:12" ht="22.5" customHeight="1">
      <c r="A17" s="1">
        <f t="shared" si="4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10702.9</v>
      </c>
      <c r="G17" s="49">
        <f t="shared" si="1"/>
        <v>103056.08352000001</v>
      </c>
      <c r="H17" s="54"/>
      <c r="I17" s="50"/>
      <c r="J17" s="14">
        <f t="shared" si="2"/>
        <v>87597.67099200001</v>
      </c>
      <c r="K17" s="14">
        <v>93124.1</v>
      </c>
      <c r="L17" s="14">
        <f t="shared" si="3"/>
        <v>-5526.429007999992</v>
      </c>
    </row>
    <row r="18" spans="1:12" ht="18.75" customHeight="1">
      <c r="A18" s="1">
        <f t="shared" si="4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10702.9</v>
      </c>
      <c r="G18" s="49">
        <f t="shared" si="1"/>
        <v>486485.33543999994</v>
      </c>
      <c r="H18" s="54"/>
      <c r="I18" s="50"/>
      <c r="J18" s="14">
        <f t="shared" si="2"/>
        <v>413512.5351239999</v>
      </c>
      <c r="K18" s="14">
        <v>236973.24</v>
      </c>
      <c r="L18" s="14">
        <f t="shared" si="3"/>
        <v>176539.29512399994</v>
      </c>
    </row>
    <row r="19" spans="1:12" ht="25.5">
      <c r="A19" s="1">
        <f t="shared" si="4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10702.9</v>
      </c>
      <c r="G19" s="49">
        <f t="shared" si="1"/>
        <v>669864.5428799998</v>
      </c>
      <c r="H19" s="54"/>
      <c r="I19" s="50"/>
      <c r="J19" s="14">
        <f t="shared" si="2"/>
        <v>569384.8614479998</v>
      </c>
      <c r="K19" s="14">
        <v>295130.54</v>
      </c>
      <c r="L19" s="14">
        <f t="shared" si="3"/>
        <v>274254.32144799986</v>
      </c>
    </row>
    <row r="20" spans="1:12" ht="53.25" customHeight="1">
      <c r="A20" s="1">
        <f t="shared" si="4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10702.9</v>
      </c>
      <c r="G20" s="49">
        <f t="shared" si="1"/>
        <v>294012.94415999996</v>
      </c>
      <c r="H20" s="54"/>
      <c r="I20" s="50"/>
      <c r="J20" s="14">
        <f t="shared" si="2"/>
        <v>249911.00253599996</v>
      </c>
      <c r="K20" s="14">
        <v>396323.89</v>
      </c>
      <c r="L20" s="14">
        <f t="shared" si="3"/>
        <v>-146412.88746400006</v>
      </c>
    </row>
    <row r="21" spans="1:12" ht="19.5" customHeight="1">
      <c r="A21" s="1">
        <v>11</v>
      </c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f>10702.9-2030.2</f>
        <v>8672.699999999999</v>
      </c>
      <c r="G21" s="49">
        <f t="shared" si="1"/>
        <v>133857.92088</v>
      </c>
      <c r="H21" s="54"/>
      <c r="I21" s="50"/>
      <c r="J21" s="14">
        <f t="shared" si="2"/>
        <v>113779.232748</v>
      </c>
      <c r="K21" s="14"/>
      <c r="L21" s="14">
        <f t="shared" si="3"/>
        <v>113779.232748</v>
      </c>
    </row>
    <row r="22" spans="1:12" ht="24.75" customHeight="1">
      <c r="A22" s="1">
        <v>12</v>
      </c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f>10702.9-2030.2</f>
        <v>8672.699999999999</v>
      </c>
      <c r="G22" s="49">
        <f>C22*F22*8</f>
        <v>465841.9387199999</v>
      </c>
      <c r="H22" s="54"/>
      <c r="I22" s="50"/>
      <c r="J22" s="14">
        <f t="shared" si="2"/>
        <v>395965.6479119999</v>
      </c>
      <c r="K22" s="14">
        <v>287952</v>
      </c>
      <c r="L22" s="14">
        <f t="shared" si="3"/>
        <v>108013.6479119999</v>
      </c>
    </row>
    <row r="23" spans="1:12" ht="18.75" customHeight="1">
      <c r="A23" s="1">
        <v>13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v>10702.9</v>
      </c>
      <c r="G23" s="49">
        <f aca="true" t="shared" si="5" ref="G23:G28">C23*F23*12</f>
        <v>143975.4108</v>
      </c>
      <c r="H23" s="54"/>
      <c r="I23" s="50"/>
      <c r="J23" s="14">
        <f t="shared" si="2"/>
        <v>122379.09918</v>
      </c>
      <c r="K23" s="14">
        <v>112500</v>
      </c>
      <c r="L23" s="14">
        <f t="shared" si="3"/>
        <v>9879.099180000005</v>
      </c>
    </row>
    <row r="24" spans="1:12" ht="18.75" customHeight="1">
      <c r="A24" s="1">
        <v>14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10702.9</v>
      </c>
      <c r="G24" s="49">
        <f t="shared" si="5"/>
        <v>40919.32728</v>
      </c>
      <c r="H24" s="54"/>
      <c r="I24" s="50"/>
      <c r="J24" s="14">
        <f t="shared" si="2"/>
        <v>34781.428188</v>
      </c>
      <c r="K24" s="14">
        <v>65435.91</v>
      </c>
      <c r="L24" s="14">
        <f t="shared" si="3"/>
        <v>-30654.481812000005</v>
      </c>
    </row>
    <row r="25" spans="1:12" ht="27.75" customHeight="1">
      <c r="A25" s="1">
        <v>15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v>10702.9</v>
      </c>
      <c r="G25" s="49">
        <f t="shared" si="5"/>
        <v>265217.86199999996</v>
      </c>
      <c r="H25" s="54"/>
      <c r="I25" s="50"/>
      <c r="J25" s="14">
        <f t="shared" si="2"/>
        <v>225435.18269999998</v>
      </c>
      <c r="K25" s="14">
        <v>71444.58</v>
      </c>
      <c r="L25" s="14">
        <f t="shared" si="3"/>
        <v>153990.6027</v>
      </c>
    </row>
    <row r="26" spans="1:12" ht="38.25">
      <c r="A26" s="1">
        <v>16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v>10702.9</v>
      </c>
      <c r="G26" s="49">
        <f t="shared" si="5"/>
        <v>56074.63368</v>
      </c>
      <c r="H26" s="54"/>
      <c r="I26" s="50"/>
      <c r="J26" s="14">
        <f t="shared" si="2"/>
        <v>47663.438627999996</v>
      </c>
      <c r="K26" s="14">
        <v>15105.43</v>
      </c>
      <c r="L26" s="14">
        <f t="shared" si="3"/>
        <v>32558.008627999996</v>
      </c>
    </row>
    <row r="27" spans="1:12" ht="38.25">
      <c r="A27" s="1">
        <v>17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v>10702.9</v>
      </c>
      <c r="G27" s="49">
        <f t="shared" si="5"/>
        <v>147006.47207999998</v>
      </c>
      <c r="H27" s="54"/>
      <c r="I27" s="50"/>
      <c r="J27" s="14">
        <f t="shared" si="2"/>
        <v>124955.50126799998</v>
      </c>
      <c r="K27" s="14">
        <v>39600.71</v>
      </c>
      <c r="L27" s="14">
        <f t="shared" si="3"/>
        <v>85354.79126799997</v>
      </c>
    </row>
    <row r="28" spans="1:12" ht="25.5" customHeight="1">
      <c r="A28" s="1">
        <f>A27+1</f>
        <v>18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v>10702.9</v>
      </c>
      <c r="G28" s="49">
        <f t="shared" si="5"/>
        <v>78807.59328</v>
      </c>
      <c r="H28" s="54"/>
      <c r="I28" s="50"/>
      <c r="J28" s="14">
        <f t="shared" si="2"/>
        <v>66986.454288</v>
      </c>
      <c r="K28" s="14">
        <v>21229.24</v>
      </c>
      <c r="L28" s="14">
        <f t="shared" si="3"/>
        <v>45757.21428799999</v>
      </c>
    </row>
    <row r="29" spans="1:12" ht="20.25" customHeight="1">
      <c r="A29" s="5"/>
      <c r="B29" s="6" t="s">
        <v>48</v>
      </c>
      <c r="C29" s="23">
        <f>SUM(C11:C28)</f>
        <v>29.4528</v>
      </c>
      <c r="D29" s="23"/>
      <c r="E29" s="23"/>
      <c r="F29" s="24"/>
      <c r="G29" s="44">
        <f>SUM(G11:I28)</f>
        <v>3354934.5631199996</v>
      </c>
      <c r="H29" s="44"/>
      <c r="I29" s="44"/>
      <c r="J29" s="22">
        <f>SUM(J11:J28)</f>
        <v>2851694.378651999</v>
      </c>
      <c r="K29" s="22">
        <f>SUM(K11:K28)</f>
        <v>2033118.7699999998</v>
      </c>
      <c r="L29" s="18">
        <f t="shared" si="3"/>
        <v>818575.6086519992</v>
      </c>
    </row>
    <row r="31" spans="1:12" ht="21.75" customHeight="1">
      <c r="A31" s="10" t="s">
        <v>0</v>
      </c>
      <c r="B31" s="7" t="s">
        <v>20</v>
      </c>
      <c r="C31" s="15" t="s">
        <v>21</v>
      </c>
      <c r="D31" s="15"/>
      <c r="E31" s="15"/>
      <c r="F31" s="61" t="s">
        <v>22</v>
      </c>
      <c r="G31" s="61"/>
      <c r="H31" s="32" t="s">
        <v>23</v>
      </c>
      <c r="I31" s="33"/>
      <c r="J31" s="7" t="s">
        <v>24</v>
      </c>
      <c r="K31" s="51" t="s">
        <v>25</v>
      </c>
      <c r="L31" s="51"/>
    </row>
    <row r="32" spans="1:12" ht="12.75">
      <c r="A32" s="5">
        <v>1</v>
      </c>
      <c r="B32" s="5" t="s">
        <v>26</v>
      </c>
      <c r="C32" s="16">
        <v>2542068.92</v>
      </c>
      <c r="D32" s="19"/>
      <c r="E32" s="19"/>
      <c r="F32" s="54">
        <v>1886322.78</v>
      </c>
      <c r="G32" s="50"/>
      <c r="H32" s="49">
        <f aca="true" t="shared" si="6" ref="H32:H37">F32-C32</f>
        <v>-655746.1399999999</v>
      </c>
      <c r="I32" s="50"/>
      <c r="J32" s="13">
        <v>416511.07</v>
      </c>
      <c r="K32" s="49">
        <f aca="true" t="shared" si="7" ref="K32:K38">J32+H32</f>
        <v>-239235.0699999999</v>
      </c>
      <c r="L32" s="50"/>
    </row>
    <row r="33" spans="1:12" ht="12.75">
      <c r="A33" s="5">
        <v>2</v>
      </c>
      <c r="B33" s="5" t="s">
        <v>27</v>
      </c>
      <c r="C33" s="16">
        <f>1254543.08-300000</f>
        <v>954543.0800000001</v>
      </c>
      <c r="D33" s="19"/>
      <c r="E33" s="19"/>
      <c r="F33" s="54">
        <v>870930.47</v>
      </c>
      <c r="G33" s="50"/>
      <c r="H33" s="49">
        <f t="shared" si="6"/>
        <v>-83612.6100000001</v>
      </c>
      <c r="I33" s="50"/>
      <c r="J33" s="13"/>
      <c r="K33" s="49">
        <f t="shared" si="7"/>
        <v>-83612.6100000001</v>
      </c>
      <c r="L33" s="50"/>
    </row>
    <row r="34" spans="1:12" ht="12.75">
      <c r="A34" s="5">
        <v>3</v>
      </c>
      <c r="B34" s="5" t="s">
        <v>28</v>
      </c>
      <c r="C34" s="16">
        <v>431348.72</v>
      </c>
      <c r="D34" s="19"/>
      <c r="E34" s="19"/>
      <c r="F34" s="54">
        <v>318729.56</v>
      </c>
      <c r="G34" s="50"/>
      <c r="H34" s="49">
        <f t="shared" si="6"/>
        <v>-112619.15999999997</v>
      </c>
      <c r="I34" s="50"/>
      <c r="J34" s="13">
        <v>79294.41</v>
      </c>
      <c r="K34" s="49">
        <f t="shared" si="7"/>
        <v>-33324.74999999997</v>
      </c>
      <c r="L34" s="50"/>
    </row>
    <row r="35" spans="1:12" ht="12.75">
      <c r="A35" s="5">
        <v>4</v>
      </c>
      <c r="B35" s="5" t="s">
        <v>29</v>
      </c>
      <c r="C35" s="16">
        <v>685588.34</v>
      </c>
      <c r="D35" s="19"/>
      <c r="E35" s="19"/>
      <c r="F35" s="54">
        <v>499045.98</v>
      </c>
      <c r="G35" s="50"/>
      <c r="H35" s="49">
        <f t="shared" si="6"/>
        <v>-186542.36</v>
      </c>
      <c r="I35" s="50"/>
      <c r="J35" s="13"/>
      <c r="K35" s="49">
        <f t="shared" si="7"/>
        <v>-186542.36</v>
      </c>
      <c r="L35" s="50"/>
    </row>
    <row r="36" spans="1:12" ht="12.75">
      <c r="A36" s="5">
        <v>5</v>
      </c>
      <c r="B36" s="5" t="s">
        <v>30</v>
      </c>
      <c r="C36" s="16">
        <v>511022</v>
      </c>
      <c r="D36" s="19">
        <v>484359.92</v>
      </c>
      <c r="E36" s="19"/>
      <c r="F36" s="54">
        <v>484359.92</v>
      </c>
      <c r="G36" s="50"/>
      <c r="H36" s="49">
        <f t="shared" si="6"/>
        <v>-26662.080000000016</v>
      </c>
      <c r="I36" s="50"/>
      <c r="J36" s="13"/>
      <c r="K36" s="49">
        <f t="shared" si="7"/>
        <v>-26662.080000000016</v>
      </c>
      <c r="L36" s="50"/>
    </row>
    <row r="37" spans="1:12" ht="12.75">
      <c r="A37" s="5">
        <v>6</v>
      </c>
      <c r="B37" s="5" t="s">
        <v>51</v>
      </c>
      <c r="C37" s="16">
        <v>143976</v>
      </c>
      <c r="D37" s="19"/>
      <c r="E37" s="19"/>
      <c r="F37" s="49">
        <v>184113.61</v>
      </c>
      <c r="G37" s="50"/>
      <c r="H37" s="49">
        <f t="shared" si="6"/>
        <v>40137.609999999986</v>
      </c>
      <c r="I37" s="50"/>
      <c r="J37" s="13"/>
      <c r="K37" s="49">
        <f t="shared" si="7"/>
        <v>40137.609999999986</v>
      </c>
      <c r="L37" s="50"/>
    </row>
    <row r="38" spans="1:12" ht="20.25" customHeight="1">
      <c r="A38" s="5"/>
      <c r="B38" s="8" t="s">
        <v>31</v>
      </c>
      <c r="C38" s="17">
        <f>SUM(C32:C37)</f>
        <v>5268547.06</v>
      </c>
      <c r="D38" s="17"/>
      <c r="E38" s="17"/>
      <c r="F38" s="44">
        <f>SUM(F32:G37)</f>
        <v>4243502.32</v>
      </c>
      <c r="G38" s="44"/>
      <c r="H38" s="46">
        <f>SUM(H32:H37)</f>
        <v>-1025044.7399999999</v>
      </c>
      <c r="I38" s="47"/>
      <c r="J38" s="18">
        <f>SUM(J32:J37)</f>
        <v>495805.48</v>
      </c>
      <c r="K38" s="46">
        <f t="shared" si="7"/>
        <v>-529239.2599999999</v>
      </c>
      <c r="L38" s="47"/>
    </row>
    <row r="40" spans="1:12" ht="34.5" customHeight="1">
      <c r="A40" s="10" t="s">
        <v>0</v>
      </c>
      <c r="B40" s="75" t="s">
        <v>78</v>
      </c>
      <c r="C40" s="75"/>
      <c r="D40" s="75"/>
      <c r="E40" s="75"/>
      <c r="F40" s="75"/>
      <c r="G40" s="76" t="s">
        <v>37</v>
      </c>
      <c r="H40" s="76"/>
      <c r="I40" s="76"/>
      <c r="J40" s="76"/>
      <c r="K40" s="76"/>
      <c r="L40" s="76"/>
    </row>
    <row r="41" spans="1:12" ht="12.75">
      <c r="A41" s="5">
        <v>1</v>
      </c>
      <c r="B41" s="74" t="s">
        <v>36</v>
      </c>
      <c r="C41" s="74"/>
      <c r="D41" s="74"/>
      <c r="E41" s="74"/>
      <c r="F41" s="74"/>
      <c r="G41" s="73">
        <v>-54816.01</v>
      </c>
      <c r="H41" s="73"/>
      <c r="I41" s="73"/>
      <c r="J41" s="73"/>
      <c r="K41" s="73"/>
      <c r="L41" s="73"/>
    </row>
    <row r="42" spans="1:12" ht="12.75">
      <c r="A42" s="5">
        <v>2</v>
      </c>
      <c r="B42" s="74" t="s">
        <v>34</v>
      </c>
      <c r="C42" s="74"/>
      <c r="D42" s="74"/>
      <c r="E42" s="74"/>
      <c r="F42" s="74"/>
      <c r="G42" s="73">
        <v>-4904.02</v>
      </c>
      <c r="H42" s="73"/>
      <c r="I42" s="73"/>
      <c r="J42" s="73"/>
      <c r="K42" s="73"/>
      <c r="L42" s="73"/>
    </row>
    <row r="43" spans="1:12" ht="12.75">
      <c r="A43" s="5">
        <v>3</v>
      </c>
      <c r="B43" s="74" t="s">
        <v>44</v>
      </c>
      <c r="C43" s="74"/>
      <c r="D43" s="74"/>
      <c r="E43" s="74"/>
      <c r="F43" s="74"/>
      <c r="G43" s="73">
        <v>-117193.09</v>
      </c>
      <c r="H43" s="73"/>
      <c r="I43" s="73"/>
      <c r="J43" s="73"/>
      <c r="K43" s="73"/>
      <c r="L43" s="73"/>
    </row>
    <row r="44" spans="1:12" ht="12.75">
      <c r="A44" s="5">
        <v>4</v>
      </c>
      <c r="B44" s="74" t="s">
        <v>35</v>
      </c>
      <c r="C44" s="74"/>
      <c r="D44" s="74"/>
      <c r="E44" s="74"/>
      <c r="F44" s="74"/>
      <c r="G44" s="73">
        <v>-21404.14</v>
      </c>
      <c r="H44" s="73"/>
      <c r="I44" s="73"/>
      <c r="J44" s="73"/>
      <c r="K44" s="73"/>
      <c r="L44" s="73"/>
    </row>
    <row r="45" spans="1:12" ht="12.75">
      <c r="A45" s="5">
        <v>5</v>
      </c>
      <c r="B45" s="74" t="s">
        <v>46</v>
      </c>
      <c r="C45" s="74"/>
      <c r="D45" s="74"/>
      <c r="E45" s="74"/>
      <c r="F45" s="74"/>
      <c r="G45" s="73">
        <v>-8978.91</v>
      </c>
      <c r="H45" s="73"/>
      <c r="I45" s="73"/>
      <c r="J45" s="73"/>
      <c r="K45" s="73"/>
      <c r="L45" s="73"/>
    </row>
    <row r="46" spans="1:12" ht="12.75">
      <c r="A46" s="5">
        <v>6</v>
      </c>
      <c r="B46" s="74" t="s">
        <v>45</v>
      </c>
      <c r="C46" s="74"/>
      <c r="D46" s="74"/>
      <c r="E46" s="74"/>
      <c r="F46" s="74"/>
      <c r="G46" s="73">
        <v>-6093.23</v>
      </c>
      <c r="H46" s="73"/>
      <c r="I46" s="73"/>
      <c r="J46" s="73"/>
      <c r="K46" s="73"/>
      <c r="L46" s="73"/>
    </row>
    <row r="47" spans="1:12" ht="12.75">
      <c r="A47" s="5">
        <v>7</v>
      </c>
      <c r="B47" s="74" t="s">
        <v>83</v>
      </c>
      <c r="C47" s="74"/>
      <c r="D47" s="74"/>
      <c r="E47" s="74"/>
      <c r="F47" s="74"/>
      <c r="G47" s="73">
        <v>-17276.14</v>
      </c>
      <c r="H47" s="73"/>
      <c r="I47" s="73"/>
      <c r="J47" s="73"/>
      <c r="K47" s="73"/>
      <c r="L47" s="73"/>
    </row>
    <row r="48" spans="1:12" ht="12.75">
      <c r="A48" s="5">
        <v>8</v>
      </c>
      <c r="B48" s="74" t="s">
        <v>38</v>
      </c>
      <c r="C48" s="74"/>
      <c r="D48" s="74"/>
      <c r="E48" s="74"/>
      <c r="F48" s="74"/>
      <c r="G48" s="73">
        <v>-16832.22</v>
      </c>
      <c r="H48" s="73"/>
      <c r="I48" s="73"/>
      <c r="J48" s="73"/>
      <c r="K48" s="73"/>
      <c r="L48" s="73"/>
    </row>
    <row r="49" spans="1:12" ht="12.75">
      <c r="A49" s="5">
        <v>9</v>
      </c>
      <c r="B49" s="77" t="s">
        <v>79</v>
      </c>
      <c r="C49" s="78"/>
      <c r="D49" s="78"/>
      <c r="E49" s="78"/>
      <c r="F49" s="79"/>
      <c r="G49" s="49">
        <v>-350573.17</v>
      </c>
      <c r="H49" s="54"/>
      <c r="I49" s="54"/>
      <c r="J49" s="54"/>
      <c r="K49" s="54"/>
      <c r="L49" s="50"/>
    </row>
    <row r="50" spans="1:12" ht="24.75" customHeight="1">
      <c r="A50" s="5"/>
      <c r="B50" s="39" t="s">
        <v>31</v>
      </c>
      <c r="C50" s="39"/>
      <c r="D50" s="39"/>
      <c r="E50" s="39"/>
      <c r="F50" s="39"/>
      <c r="G50" s="44">
        <f>SUM(G41:G49)</f>
        <v>-598070.93</v>
      </c>
      <c r="H50" s="44"/>
      <c r="I50" s="44"/>
      <c r="J50" s="44"/>
      <c r="K50" s="44"/>
      <c r="L50" s="44"/>
    </row>
    <row r="51" spans="1:12" ht="13.5" customHeight="1">
      <c r="A51" s="25"/>
      <c r="B51" s="26"/>
      <c r="C51" s="26"/>
      <c r="D51" s="26"/>
      <c r="E51" s="26"/>
      <c r="F51" s="26"/>
      <c r="G51" s="27"/>
      <c r="H51" s="27"/>
      <c r="I51" s="27"/>
      <c r="J51" s="27"/>
      <c r="K51" s="27"/>
      <c r="L51" s="27"/>
    </row>
    <row r="52" spans="1:12" ht="26.25" customHeight="1">
      <c r="A52" s="10" t="s">
        <v>0</v>
      </c>
      <c r="B52" s="39" t="s">
        <v>81</v>
      </c>
      <c r="C52" s="39"/>
      <c r="D52" s="39"/>
      <c r="E52" s="39"/>
      <c r="F52" s="39"/>
      <c r="G52" s="40" t="s">
        <v>82</v>
      </c>
      <c r="H52" s="41"/>
      <c r="I52" s="41"/>
      <c r="J52" s="42"/>
      <c r="K52" s="43" t="s">
        <v>33</v>
      </c>
      <c r="L52" s="43"/>
    </row>
    <row r="53" spans="1:12" ht="24.75" customHeight="1">
      <c r="A53" s="5">
        <v>1</v>
      </c>
      <c r="B53" s="44">
        <v>60365.79</v>
      </c>
      <c r="C53" s="44"/>
      <c r="D53" s="44"/>
      <c r="E53" s="44"/>
      <c r="F53" s="44"/>
      <c r="G53" s="44">
        <v>21054.98</v>
      </c>
      <c r="H53" s="44"/>
      <c r="I53" s="44"/>
      <c r="J53" s="44"/>
      <c r="K53" s="45">
        <f>G53-B53</f>
        <v>-39310.81</v>
      </c>
      <c r="L53" s="43"/>
    </row>
    <row r="54" spans="1:12" ht="14.25" customHeight="1">
      <c r="A54" s="25"/>
      <c r="B54" s="26"/>
      <c r="C54" s="26"/>
      <c r="D54" s="26"/>
      <c r="E54" s="26"/>
      <c r="F54" s="26"/>
      <c r="G54" s="27"/>
      <c r="H54" s="27"/>
      <c r="I54" s="27"/>
      <c r="J54" s="27"/>
      <c r="K54" s="27"/>
      <c r="L54" s="27"/>
    </row>
    <row r="55" spans="1:12" ht="20.25" customHeight="1">
      <c r="A55" s="70" t="s">
        <v>39</v>
      </c>
      <c r="B55" s="63"/>
      <c r="C55" s="62"/>
      <c r="D55" s="62"/>
      <c r="E55" s="62"/>
      <c r="F55" s="62"/>
      <c r="G55" s="62"/>
      <c r="H55" s="62"/>
      <c r="I55" s="63"/>
      <c r="J55" s="72" t="s">
        <v>33</v>
      </c>
      <c r="K55" s="72"/>
      <c r="L55" s="72"/>
    </row>
    <row r="56" spans="1:12" ht="24.75" customHeight="1">
      <c r="A56" s="71"/>
      <c r="B56" s="65"/>
      <c r="C56" s="64"/>
      <c r="D56" s="64"/>
      <c r="E56" s="64"/>
      <c r="F56" s="64"/>
      <c r="G56" s="64"/>
      <c r="H56" s="64"/>
      <c r="I56" s="65"/>
      <c r="J56" s="66">
        <f>L29+K38+G50+K53</f>
        <v>-348045.3913480008</v>
      </c>
      <c r="K56" s="67"/>
      <c r="L56" s="68"/>
    </row>
    <row r="58" spans="1:12" ht="12.75">
      <c r="A58" s="69" t="s">
        <v>43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</sheetData>
  <mergeCells count="91">
    <mergeCell ref="B48:F48"/>
    <mergeCell ref="G48:L48"/>
    <mergeCell ref="B50:F50"/>
    <mergeCell ref="G50:L50"/>
    <mergeCell ref="B49:F49"/>
    <mergeCell ref="G49:L49"/>
    <mergeCell ref="B46:F46"/>
    <mergeCell ref="G46:L46"/>
    <mergeCell ref="B47:F47"/>
    <mergeCell ref="G47:L47"/>
    <mergeCell ref="B44:F44"/>
    <mergeCell ref="G44:L44"/>
    <mergeCell ref="B45:F45"/>
    <mergeCell ref="G45:L45"/>
    <mergeCell ref="B42:F42"/>
    <mergeCell ref="G42:L42"/>
    <mergeCell ref="B43:F43"/>
    <mergeCell ref="G43:L43"/>
    <mergeCell ref="B40:F40"/>
    <mergeCell ref="G40:L40"/>
    <mergeCell ref="B41:F41"/>
    <mergeCell ref="G41:L41"/>
    <mergeCell ref="A58:L58"/>
    <mergeCell ref="A55:B56"/>
    <mergeCell ref="J55:L55"/>
    <mergeCell ref="C55:I56"/>
    <mergeCell ref="J56:L56"/>
    <mergeCell ref="J1:L1"/>
    <mergeCell ref="J2:L2"/>
    <mergeCell ref="J3:L3"/>
    <mergeCell ref="J4:L4"/>
    <mergeCell ref="G19:I19"/>
    <mergeCell ref="G20:I20"/>
    <mergeCell ref="H37:I37"/>
    <mergeCell ref="G24:I24"/>
    <mergeCell ref="G25:I25"/>
    <mergeCell ref="G13:I13"/>
    <mergeCell ref="H35:I35"/>
    <mergeCell ref="H36:I36"/>
    <mergeCell ref="G16:I16"/>
    <mergeCell ref="G17:I17"/>
    <mergeCell ref="G14:I14"/>
    <mergeCell ref="G15:I15"/>
    <mergeCell ref="F35:G35"/>
    <mergeCell ref="F36:G36"/>
    <mergeCell ref="G18:I18"/>
    <mergeCell ref="H38:I38"/>
    <mergeCell ref="F38:G38"/>
    <mergeCell ref="G26:I26"/>
    <mergeCell ref="G27:I27"/>
    <mergeCell ref="G28:I28"/>
    <mergeCell ref="G29:I29"/>
    <mergeCell ref="F37:G37"/>
    <mergeCell ref="H31:I31"/>
    <mergeCell ref="F31:G31"/>
    <mergeCell ref="K37:L37"/>
    <mergeCell ref="F34:G34"/>
    <mergeCell ref="H34:I34"/>
    <mergeCell ref="F33:G33"/>
    <mergeCell ref="H33:I33"/>
    <mergeCell ref="A10:J10"/>
    <mergeCell ref="B8:B9"/>
    <mergeCell ref="A8:A9"/>
    <mergeCell ref="F8:F9"/>
    <mergeCell ref="J8:J9"/>
    <mergeCell ref="A7:F7"/>
    <mergeCell ref="F32:G32"/>
    <mergeCell ref="C8:C9"/>
    <mergeCell ref="H32:I32"/>
    <mergeCell ref="G23:I23"/>
    <mergeCell ref="G21:I21"/>
    <mergeCell ref="G22:I22"/>
    <mergeCell ref="G8:I9"/>
    <mergeCell ref="G11:I11"/>
    <mergeCell ref="G12:I12"/>
    <mergeCell ref="K38:L38"/>
    <mergeCell ref="A6:L6"/>
    <mergeCell ref="K33:L33"/>
    <mergeCell ref="K34:L34"/>
    <mergeCell ref="K35:L35"/>
    <mergeCell ref="K36:L36"/>
    <mergeCell ref="L8:L10"/>
    <mergeCell ref="K32:L32"/>
    <mergeCell ref="K31:L31"/>
    <mergeCell ref="K8:K9"/>
    <mergeCell ref="B53:F53"/>
    <mergeCell ref="G53:J53"/>
    <mergeCell ref="K53:L53"/>
    <mergeCell ref="B52:F52"/>
    <mergeCell ref="G52:J52"/>
    <mergeCell ref="K52:L52"/>
  </mergeCells>
  <printOptions/>
  <pageMargins left="0.67" right="0.16" top="0.22" bottom="0.16" header="0.28" footer="0.1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31">
      <selection activeCell="Q17" sqref="Q17"/>
    </sheetView>
  </sheetViews>
  <sheetFormatPr defaultColWidth="9.140625" defaultRowHeight="12.75" outlineLevelRow="1" outlineLevelCol="1"/>
  <cols>
    <col min="1" max="1" width="3.8515625" style="0" customWidth="1"/>
    <col min="2" max="2" width="31.28125" style="0" customWidth="1"/>
    <col min="3" max="3" width="15.7109375" style="0" customWidth="1"/>
    <col min="4" max="5" width="15.7109375" style="0" hidden="1" customWidth="1" outlineLevel="1"/>
    <col min="6" max="6" width="10.57421875" style="0" customWidth="1" collapsed="1"/>
    <col min="7" max="7" width="10.57421875" style="0" customWidth="1"/>
    <col min="8" max="9" width="11.57421875" style="0" customWidth="1"/>
    <col min="10" max="10" width="14.00390625" style="0" customWidth="1"/>
    <col min="11" max="11" width="12.8515625" style="0" customWidth="1"/>
    <col min="12" max="12" width="12.28125" style="0" customWidth="1"/>
  </cols>
  <sheetData>
    <row r="1" spans="10:12" ht="12.75">
      <c r="J1" s="69" t="s">
        <v>40</v>
      </c>
      <c r="K1" s="69"/>
      <c r="L1" s="69"/>
    </row>
    <row r="2" spans="10:12" ht="12.75">
      <c r="J2" s="69" t="s">
        <v>41</v>
      </c>
      <c r="K2" s="69"/>
      <c r="L2" s="69"/>
    </row>
    <row r="3" spans="10:12" ht="12.75">
      <c r="J3" s="69" t="s">
        <v>42</v>
      </c>
      <c r="K3" s="69"/>
      <c r="L3" s="69"/>
    </row>
    <row r="4" spans="10:12" ht="12.75">
      <c r="J4" s="69" t="s">
        <v>54</v>
      </c>
      <c r="K4" s="69"/>
      <c r="L4" s="69"/>
    </row>
    <row r="5" spans="10:12" ht="12.75">
      <c r="J5" s="11"/>
      <c r="K5" s="11"/>
      <c r="L5" s="11"/>
    </row>
    <row r="6" spans="1:12" ht="34.5" customHeight="1">
      <c r="A6" s="48" t="s">
        <v>76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6" ht="17.25" customHeight="1">
      <c r="A7" s="53"/>
      <c r="B7" s="53"/>
      <c r="C7" s="53"/>
      <c r="D7" s="53"/>
      <c r="E7" s="53"/>
      <c r="F7" s="53"/>
    </row>
    <row r="8" spans="1:12" ht="33" customHeight="1">
      <c r="A8" s="31" t="s">
        <v>0</v>
      </c>
      <c r="B8" s="31" t="s">
        <v>1</v>
      </c>
      <c r="C8" s="55" t="s">
        <v>2</v>
      </c>
      <c r="D8" s="20"/>
      <c r="E8" s="20"/>
      <c r="F8" s="57" t="s">
        <v>3</v>
      </c>
      <c r="G8" s="57" t="s">
        <v>65</v>
      </c>
      <c r="H8" s="58"/>
      <c r="I8" s="59"/>
      <c r="J8" s="52" t="s">
        <v>63</v>
      </c>
      <c r="K8" s="52" t="s">
        <v>66</v>
      </c>
      <c r="L8" s="43" t="s">
        <v>33</v>
      </c>
    </row>
    <row r="9" spans="1:12" ht="30.75" customHeight="1">
      <c r="A9" s="31"/>
      <c r="B9" s="31"/>
      <c r="C9" s="56"/>
      <c r="D9" s="21"/>
      <c r="E9" s="21"/>
      <c r="F9" s="60"/>
      <c r="G9" s="60"/>
      <c r="H9" s="34"/>
      <c r="I9" s="35"/>
      <c r="J9" s="52"/>
      <c r="K9" s="52"/>
      <c r="L9" s="43"/>
    </row>
    <row r="10" spans="1:12" ht="17.25" customHeight="1">
      <c r="A10" s="36" t="s">
        <v>4</v>
      </c>
      <c r="B10" s="37"/>
      <c r="C10" s="37"/>
      <c r="D10" s="37"/>
      <c r="E10" s="37"/>
      <c r="F10" s="37"/>
      <c r="G10" s="37"/>
      <c r="H10" s="37"/>
      <c r="I10" s="37"/>
      <c r="J10" s="38"/>
      <c r="K10" s="9" t="s">
        <v>32</v>
      </c>
      <c r="L10" s="43"/>
    </row>
    <row r="11" spans="1:12" ht="18.75" customHeight="1">
      <c r="A11" s="1">
        <v>1</v>
      </c>
      <c r="B11" s="3" t="s">
        <v>5</v>
      </c>
      <c r="C11" s="2">
        <f aca="true" t="shared" si="0" ref="C11:C28">D11*E11</f>
        <v>0.59</v>
      </c>
      <c r="D11" s="2">
        <v>0.5</v>
      </c>
      <c r="E11" s="2">
        <v>1.18</v>
      </c>
      <c r="F11" s="12">
        <v>17607.9</v>
      </c>
      <c r="G11" s="49">
        <f>C11*F11*8</f>
        <v>83109.288</v>
      </c>
      <c r="H11" s="54"/>
      <c r="I11" s="50"/>
      <c r="J11" s="14">
        <f aca="true" t="shared" si="1" ref="J11:J28">G11*0.85</f>
        <v>70642.8948</v>
      </c>
      <c r="K11" s="14"/>
      <c r="L11" s="14">
        <f aca="true" t="shared" si="2" ref="L11:L30">J11-K11</f>
        <v>70642.8948</v>
      </c>
    </row>
    <row r="12" spans="1:12" ht="18.75" customHeight="1">
      <c r="A12" s="1">
        <f aca="true" t="shared" si="3" ref="A12:A20">A11+1</f>
        <v>2</v>
      </c>
      <c r="B12" s="3" t="s">
        <v>6</v>
      </c>
      <c r="C12" s="2">
        <f t="shared" si="0"/>
        <v>0.1298</v>
      </c>
      <c r="D12" s="4">
        <v>0.11</v>
      </c>
      <c r="E12" s="2">
        <v>1.18</v>
      </c>
      <c r="F12" s="12">
        <v>17607.9</v>
      </c>
      <c r="G12" s="49">
        <f aca="true" t="shared" si="4" ref="G12:G28">C12*F12*8</f>
        <v>18284.04336</v>
      </c>
      <c r="H12" s="54"/>
      <c r="I12" s="50"/>
      <c r="J12" s="14">
        <f t="shared" si="1"/>
        <v>15541.436855999998</v>
      </c>
      <c r="K12" s="14"/>
      <c r="L12" s="14">
        <f t="shared" si="2"/>
        <v>15541.436855999998</v>
      </c>
    </row>
    <row r="13" spans="1:12" ht="18.75" customHeight="1">
      <c r="A13" s="1">
        <f t="shared" si="3"/>
        <v>3</v>
      </c>
      <c r="B13" s="3" t="s">
        <v>7</v>
      </c>
      <c r="C13" s="2">
        <f t="shared" si="0"/>
        <v>0.1534</v>
      </c>
      <c r="D13" s="4">
        <v>0.13</v>
      </c>
      <c r="E13" s="2">
        <v>1.18</v>
      </c>
      <c r="F13" s="12">
        <v>17607.9</v>
      </c>
      <c r="G13" s="49">
        <f t="shared" si="4"/>
        <v>21608.414880000004</v>
      </c>
      <c r="H13" s="54"/>
      <c r="I13" s="50"/>
      <c r="J13" s="14">
        <f t="shared" si="1"/>
        <v>18367.152648000003</v>
      </c>
      <c r="K13" s="14"/>
      <c r="L13" s="14">
        <f t="shared" si="2"/>
        <v>18367.152648000003</v>
      </c>
    </row>
    <row r="14" spans="1:12" ht="26.25" customHeight="1">
      <c r="A14" s="1">
        <f t="shared" si="3"/>
        <v>4</v>
      </c>
      <c r="B14" s="3" t="s">
        <v>8</v>
      </c>
      <c r="C14" s="2">
        <f t="shared" si="0"/>
        <v>0.42479999999999996</v>
      </c>
      <c r="D14" s="4">
        <v>0.36</v>
      </c>
      <c r="E14" s="2">
        <v>1.18</v>
      </c>
      <c r="F14" s="12">
        <v>17607.9</v>
      </c>
      <c r="G14" s="49">
        <f t="shared" si="4"/>
        <v>59838.687359999996</v>
      </c>
      <c r="H14" s="54"/>
      <c r="I14" s="50"/>
      <c r="J14" s="14">
        <f t="shared" si="1"/>
        <v>50862.884256</v>
      </c>
      <c r="K14" s="14">
        <v>73680.2</v>
      </c>
      <c r="L14" s="14">
        <f t="shared" si="2"/>
        <v>-22817.315744</v>
      </c>
    </row>
    <row r="15" spans="1:12" ht="24.75" customHeight="1">
      <c r="A15" s="1">
        <f t="shared" si="3"/>
        <v>5</v>
      </c>
      <c r="B15" s="3" t="s">
        <v>9</v>
      </c>
      <c r="C15" s="2">
        <f t="shared" si="0"/>
        <v>1.5812</v>
      </c>
      <c r="D15" s="4">
        <v>1.34</v>
      </c>
      <c r="E15" s="2">
        <v>1.18</v>
      </c>
      <c r="F15" s="12">
        <v>17607.9</v>
      </c>
      <c r="G15" s="49">
        <f t="shared" si="4"/>
        <v>222732.89184</v>
      </c>
      <c r="H15" s="54"/>
      <c r="I15" s="50"/>
      <c r="J15" s="14">
        <f t="shared" si="1"/>
        <v>189322.958064</v>
      </c>
      <c r="K15" s="14">
        <v>243318.27</v>
      </c>
      <c r="L15" s="14">
        <f t="shared" si="2"/>
        <v>-53995.311935999984</v>
      </c>
    </row>
    <row r="16" spans="1:12" ht="25.5">
      <c r="A16" s="1">
        <f t="shared" si="3"/>
        <v>6</v>
      </c>
      <c r="B16" s="3" t="s">
        <v>10</v>
      </c>
      <c r="C16" s="2">
        <f t="shared" si="0"/>
        <v>0.7788</v>
      </c>
      <c r="D16" s="4">
        <v>0.66</v>
      </c>
      <c r="E16" s="2">
        <v>1.18</v>
      </c>
      <c r="F16" s="12">
        <v>17607.9</v>
      </c>
      <c r="G16" s="49">
        <f t="shared" si="4"/>
        <v>109704.26016000002</v>
      </c>
      <c r="H16" s="54"/>
      <c r="I16" s="50"/>
      <c r="J16" s="14">
        <f t="shared" si="1"/>
        <v>93248.62113600002</v>
      </c>
      <c r="K16" s="14">
        <v>119843.33</v>
      </c>
      <c r="L16" s="14">
        <f t="shared" si="2"/>
        <v>-26594.708863999986</v>
      </c>
    </row>
    <row r="17" spans="1:12" ht="22.5" customHeight="1">
      <c r="A17" s="1">
        <f t="shared" si="3"/>
        <v>7</v>
      </c>
      <c r="B17" s="3" t="s">
        <v>11</v>
      </c>
      <c r="C17" s="2">
        <f t="shared" si="0"/>
        <v>0.8024</v>
      </c>
      <c r="D17" s="4">
        <v>0.68</v>
      </c>
      <c r="E17" s="2">
        <v>1.18</v>
      </c>
      <c r="F17" s="12">
        <v>17607.9</v>
      </c>
      <c r="G17" s="49">
        <f t="shared" si="4"/>
        <v>113028.63168</v>
      </c>
      <c r="H17" s="54"/>
      <c r="I17" s="50"/>
      <c r="J17" s="14">
        <f t="shared" si="1"/>
        <v>96074.336928</v>
      </c>
      <c r="K17" s="14">
        <v>102135.55</v>
      </c>
      <c r="L17" s="14">
        <f t="shared" si="2"/>
        <v>-6061.213071999999</v>
      </c>
    </row>
    <row r="18" spans="1:12" ht="18.75" customHeight="1">
      <c r="A18" s="1">
        <f t="shared" si="3"/>
        <v>8</v>
      </c>
      <c r="B18" s="3" t="s">
        <v>12</v>
      </c>
      <c r="C18" s="2">
        <f t="shared" si="0"/>
        <v>3.7878</v>
      </c>
      <c r="D18" s="4">
        <v>3.21</v>
      </c>
      <c r="E18" s="2">
        <v>1.18</v>
      </c>
      <c r="F18" s="12">
        <v>17607.9</v>
      </c>
      <c r="G18" s="49">
        <f t="shared" si="4"/>
        <v>533561.62896</v>
      </c>
      <c r="H18" s="54"/>
      <c r="I18" s="50"/>
      <c r="J18" s="14">
        <f t="shared" si="1"/>
        <v>453527.384616</v>
      </c>
      <c r="K18" s="14">
        <v>236973.24</v>
      </c>
      <c r="L18" s="14">
        <f t="shared" si="2"/>
        <v>216554.144616</v>
      </c>
    </row>
    <row r="19" spans="1:12" ht="25.5">
      <c r="A19" s="1">
        <f t="shared" si="3"/>
        <v>9</v>
      </c>
      <c r="B19" s="3" t="s">
        <v>13</v>
      </c>
      <c r="C19" s="2">
        <f t="shared" si="0"/>
        <v>5.215599999999999</v>
      </c>
      <c r="D19" s="4">
        <v>4.42</v>
      </c>
      <c r="E19" s="2">
        <v>1.18</v>
      </c>
      <c r="F19" s="12">
        <v>17607.9</v>
      </c>
      <c r="G19" s="49">
        <f t="shared" si="4"/>
        <v>734686.10592</v>
      </c>
      <c r="H19" s="54"/>
      <c r="I19" s="50"/>
      <c r="J19" s="14">
        <f t="shared" si="1"/>
        <v>624483.190032</v>
      </c>
      <c r="K19" s="14">
        <v>403444.44</v>
      </c>
      <c r="L19" s="14">
        <f t="shared" si="2"/>
        <v>221038.75003199995</v>
      </c>
    </row>
    <row r="20" spans="1:12" ht="53.25" customHeight="1">
      <c r="A20" s="1">
        <f t="shared" si="3"/>
        <v>10</v>
      </c>
      <c r="B20" s="3" t="s">
        <v>14</v>
      </c>
      <c r="C20" s="2">
        <f t="shared" si="0"/>
        <v>2.2891999999999997</v>
      </c>
      <c r="D20" s="4">
        <v>1.94</v>
      </c>
      <c r="E20" s="2">
        <v>1.18</v>
      </c>
      <c r="F20" s="12">
        <v>17607.9</v>
      </c>
      <c r="G20" s="49">
        <f t="shared" si="4"/>
        <v>322464.03744</v>
      </c>
      <c r="H20" s="54"/>
      <c r="I20" s="50"/>
      <c r="J20" s="14">
        <f t="shared" si="1"/>
        <v>274094.43182399997</v>
      </c>
      <c r="K20" s="14">
        <v>473382.7</v>
      </c>
      <c r="L20" s="14">
        <f t="shared" si="2"/>
        <v>-199288.26817600004</v>
      </c>
    </row>
    <row r="21" spans="1:12" ht="19.5" customHeight="1">
      <c r="A21" s="1">
        <v>11</v>
      </c>
      <c r="B21" s="3" t="s">
        <v>47</v>
      </c>
      <c r="C21" s="2">
        <f t="shared" si="0"/>
        <v>1.2862</v>
      </c>
      <c r="D21" s="4">
        <v>1.09</v>
      </c>
      <c r="E21" s="2">
        <v>1.18</v>
      </c>
      <c r="F21" s="12">
        <v>17607.9</v>
      </c>
      <c r="G21" s="49">
        <f t="shared" si="4"/>
        <v>181178.24784000003</v>
      </c>
      <c r="H21" s="54"/>
      <c r="I21" s="50"/>
      <c r="J21" s="14">
        <f t="shared" si="1"/>
        <v>154001.51066400003</v>
      </c>
      <c r="K21" s="14"/>
      <c r="L21" s="14">
        <f t="shared" si="2"/>
        <v>154001.51066400003</v>
      </c>
    </row>
    <row r="22" spans="1:12" ht="24.75" customHeight="1">
      <c r="A22" s="1">
        <v>12</v>
      </c>
      <c r="B22" s="3" t="s">
        <v>49</v>
      </c>
      <c r="C22" s="2">
        <f t="shared" si="0"/>
        <v>6.7142</v>
      </c>
      <c r="D22" s="4">
        <v>5.69</v>
      </c>
      <c r="E22" s="2">
        <v>1.18</v>
      </c>
      <c r="F22" s="12">
        <v>17607.9</v>
      </c>
      <c r="G22" s="49">
        <f t="shared" si="4"/>
        <v>945783.69744</v>
      </c>
      <c r="H22" s="54"/>
      <c r="I22" s="50"/>
      <c r="J22" s="14">
        <f t="shared" si="1"/>
        <v>803916.142824</v>
      </c>
      <c r="K22" s="14">
        <v>647892</v>
      </c>
      <c r="L22" s="14">
        <f t="shared" si="2"/>
        <v>156024.14282399998</v>
      </c>
    </row>
    <row r="23" spans="1:12" ht="18.75" customHeight="1">
      <c r="A23" s="1">
        <v>13</v>
      </c>
      <c r="B23" s="3" t="s">
        <v>15</v>
      </c>
      <c r="C23" s="2">
        <f t="shared" si="0"/>
        <v>1.121</v>
      </c>
      <c r="D23" s="4">
        <v>0.95</v>
      </c>
      <c r="E23" s="2">
        <v>1.18</v>
      </c>
      <c r="F23" s="12">
        <v>17607.9</v>
      </c>
      <c r="G23" s="49">
        <f t="shared" si="4"/>
        <v>157907.6472</v>
      </c>
      <c r="H23" s="54"/>
      <c r="I23" s="50"/>
      <c r="J23" s="14">
        <f t="shared" si="1"/>
        <v>134221.50012</v>
      </c>
      <c r="K23" s="14">
        <v>225000</v>
      </c>
      <c r="L23" s="14">
        <f t="shared" si="2"/>
        <v>-90778.49987999999</v>
      </c>
    </row>
    <row r="24" spans="1:12" ht="18.75" customHeight="1">
      <c r="A24" s="1">
        <v>14</v>
      </c>
      <c r="B24" s="3" t="s">
        <v>80</v>
      </c>
      <c r="C24" s="2">
        <f t="shared" si="0"/>
        <v>0.3186</v>
      </c>
      <c r="D24" s="4">
        <v>0.27</v>
      </c>
      <c r="E24" s="2">
        <v>1.18</v>
      </c>
      <c r="F24" s="12">
        <v>17607.9</v>
      </c>
      <c r="G24" s="49">
        <f t="shared" si="4"/>
        <v>44879.01552</v>
      </c>
      <c r="H24" s="54"/>
      <c r="I24" s="50"/>
      <c r="J24" s="14">
        <f t="shared" si="1"/>
        <v>38147.163192</v>
      </c>
      <c r="K24" s="14">
        <v>71768.02</v>
      </c>
      <c r="L24" s="14">
        <f t="shared" si="2"/>
        <v>-33620.856808000004</v>
      </c>
    </row>
    <row r="25" spans="1:12" ht="27.75" customHeight="1">
      <c r="A25" s="1">
        <v>15</v>
      </c>
      <c r="B25" s="3" t="s">
        <v>16</v>
      </c>
      <c r="C25" s="2">
        <f t="shared" si="0"/>
        <v>2.065</v>
      </c>
      <c r="D25" s="4">
        <v>1.75</v>
      </c>
      <c r="E25" s="2">
        <v>1.18</v>
      </c>
      <c r="F25" s="12">
        <v>17607.9</v>
      </c>
      <c r="G25" s="49">
        <f t="shared" si="4"/>
        <v>290882.50800000003</v>
      </c>
      <c r="H25" s="54"/>
      <c r="I25" s="50"/>
      <c r="J25" s="14">
        <f t="shared" si="1"/>
        <v>247250.13180000003</v>
      </c>
      <c r="K25" s="14">
        <v>117537.21</v>
      </c>
      <c r="L25" s="14">
        <f t="shared" si="2"/>
        <v>129712.92180000003</v>
      </c>
    </row>
    <row r="26" spans="1:12" ht="38.25">
      <c r="A26" s="1">
        <v>16</v>
      </c>
      <c r="B26" s="3" t="s">
        <v>17</v>
      </c>
      <c r="C26" s="2">
        <f t="shared" si="0"/>
        <v>0.4366</v>
      </c>
      <c r="D26" s="4">
        <f>0.09+0.28</f>
        <v>0.37</v>
      </c>
      <c r="E26" s="2">
        <v>1.18</v>
      </c>
      <c r="F26" s="12">
        <v>17607.9</v>
      </c>
      <c r="G26" s="49">
        <f t="shared" si="4"/>
        <v>61500.873120000004</v>
      </c>
      <c r="H26" s="54"/>
      <c r="I26" s="50"/>
      <c r="J26" s="14">
        <f t="shared" si="1"/>
        <v>52275.742152</v>
      </c>
      <c r="K26" s="14">
        <v>24850.72</v>
      </c>
      <c r="L26" s="14">
        <f t="shared" si="2"/>
        <v>27425.022151999998</v>
      </c>
    </row>
    <row r="27" spans="1:12" ht="38.25">
      <c r="A27" s="1">
        <v>17</v>
      </c>
      <c r="B27" s="3" t="s">
        <v>18</v>
      </c>
      <c r="C27" s="2">
        <f t="shared" si="0"/>
        <v>1.1445999999999998</v>
      </c>
      <c r="D27" s="4">
        <v>0.97</v>
      </c>
      <c r="E27" s="2">
        <v>1.18</v>
      </c>
      <c r="F27" s="12">
        <v>17607.9</v>
      </c>
      <c r="G27" s="49">
        <f t="shared" si="4"/>
        <v>161232.01872</v>
      </c>
      <c r="H27" s="54"/>
      <c r="I27" s="50"/>
      <c r="J27" s="14">
        <f t="shared" si="1"/>
        <v>137047.21591199999</v>
      </c>
      <c r="K27" s="14">
        <v>65149.2</v>
      </c>
      <c r="L27" s="14">
        <f t="shared" si="2"/>
        <v>71898.01591199999</v>
      </c>
    </row>
    <row r="28" spans="1:12" ht="25.5" customHeight="1">
      <c r="A28" s="1">
        <f>A27+1</f>
        <v>18</v>
      </c>
      <c r="B28" s="3" t="s">
        <v>19</v>
      </c>
      <c r="C28" s="2">
        <f t="shared" si="0"/>
        <v>0.6136</v>
      </c>
      <c r="D28" s="4">
        <v>0.52</v>
      </c>
      <c r="E28" s="2">
        <v>1.18</v>
      </c>
      <c r="F28" s="12">
        <v>17607.9</v>
      </c>
      <c r="G28" s="49">
        <f t="shared" si="4"/>
        <v>86433.65952000002</v>
      </c>
      <c r="H28" s="54"/>
      <c r="I28" s="50"/>
      <c r="J28" s="14">
        <f t="shared" si="1"/>
        <v>73468.61059200001</v>
      </c>
      <c r="K28" s="14">
        <v>34925.34</v>
      </c>
      <c r="L28" s="14">
        <f t="shared" si="2"/>
        <v>38543.270592000015</v>
      </c>
    </row>
    <row r="29" spans="1:12" ht="25.5" customHeight="1">
      <c r="A29" s="1">
        <f>A28+1</f>
        <v>19</v>
      </c>
      <c r="B29" s="3" t="s">
        <v>50</v>
      </c>
      <c r="C29" s="2"/>
      <c r="D29" s="4"/>
      <c r="E29" s="2"/>
      <c r="F29" s="12"/>
      <c r="G29" s="49"/>
      <c r="H29" s="54"/>
      <c r="I29" s="50"/>
      <c r="J29" s="14"/>
      <c r="K29" s="14">
        <v>375093</v>
      </c>
      <c r="L29" s="14">
        <f t="shared" si="2"/>
        <v>-375093</v>
      </c>
    </row>
    <row r="30" spans="1:12" ht="20.25" customHeight="1">
      <c r="A30" s="5"/>
      <c r="B30" s="6" t="s">
        <v>48</v>
      </c>
      <c r="C30" s="23">
        <f>SUM(C11:C28)</f>
        <v>29.4528</v>
      </c>
      <c r="D30" s="23"/>
      <c r="E30" s="23"/>
      <c r="F30" s="24"/>
      <c r="G30" s="44">
        <f>SUM(G11:I29)</f>
        <v>4148815.65696</v>
      </c>
      <c r="H30" s="44"/>
      <c r="I30" s="44"/>
      <c r="J30" s="22">
        <f>SUM(J11:J29)</f>
        <v>3526493.3084159996</v>
      </c>
      <c r="K30" s="22">
        <f>SUM(K11:K29)</f>
        <v>3214993.22</v>
      </c>
      <c r="L30" s="18">
        <f t="shared" si="2"/>
        <v>311500.08841599943</v>
      </c>
    </row>
    <row r="32" spans="1:12" ht="21.75" customHeight="1">
      <c r="A32" s="10" t="s">
        <v>0</v>
      </c>
      <c r="B32" s="7" t="s">
        <v>20</v>
      </c>
      <c r="C32" s="15" t="s">
        <v>21</v>
      </c>
      <c r="D32" s="15"/>
      <c r="E32" s="15"/>
      <c r="F32" s="61" t="s">
        <v>22</v>
      </c>
      <c r="G32" s="61"/>
      <c r="H32" s="32" t="s">
        <v>23</v>
      </c>
      <c r="I32" s="33"/>
      <c r="J32" s="7" t="s">
        <v>24</v>
      </c>
      <c r="K32" s="51" t="s">
        <v>25</v>
      </c>
      <c r="L32" s="51"/>
    </row>
    <row r="33" spans="1:12" ht="12.75">
      <c r="A33" s="5">
        <v>1</v>
      </c>
      <c r="B33" s="5" t="s">
        <v>26</v>
      </c>
      <c r="C33" s="16">
        <v>2417574.4</v>
      </c>
      <c r="D33" s="19"/>
      <c r="E33" s="19"/>
      <c r="F33" s="54">
        <v>1771849.27</v>
      </c>
      <c r="G33" s="50"/>
      <c r="H33" s="49">
        <f aca="true" t="shared" si="5" ref="H33:H38">F33-C33</f>
        <v>-645725.1299999999</v>
      </c>
      <c r="I33" s="50"/>
      <c r="J33" s="13"/>
      <c r="K33" s="49">
        <f aca="true" t="shared" si="6" ref="K33:K39">J33+H33</f>
        <v>-645725.1299999999</v>
      </c>
      <c r="L33" s="50"/>
    </row>
    <row r="34" spans="1:12" ht="12.75">
      <c r="A34" s="5">
        <v>2</v>
      </c>
      <c r="B34" s="5" t="s">
        <v>27</v>
      </c>
      <c r="C34" s="16">
        <v>1163905.23</v>
      </c>
      <c r="D34" s="19"/>
      <c r="E34" s="19"/>
      <c r="F34" s="54">
        <v>1050598.07</v>
      </c>
      <c r="G34" s="50"/>
      <c r="H34" s="49">
        <f t="shared" si="5"/>
        <v>-113307.15999999992</v>
      </c>
      <c r="I34" s="50"/>
      <c r="J34" s="13"/>
      <c r="K34" s="49">
        <f t="shared" si="6"/>
        <v>-113307.15999999992</v>
      </c>
      <c r="L34" s="50"/>
    </row>
    <row r="35" spans="1:12" ht="12.75">
      <c r="A35" s="5">
        <v>3</v>
      </c>
      <c r="B35" s="5" t="s">
        <v>28</v>
      </c>
      <c r="C35" s="16">
        <v>1035006.95</v>
      </c>
      <c r="D35" s="19"/>
      <c r="E35" s="19"/>
      <c r="F35" s="54">
        <v>784792.46</v>
      </c>
      <c r="G35" s="50"/>
      <c r="H35" s="49">
        <f t="shared" si="5"/>
        <v>-250214.49</v>
      </c>
      <c r="I35" s="50"/>
      <c r="J35" s="13"/>
      <c r="K35" s="49">
        <f t="shared" si="6"/>
        <v>-250214.49</v>
      </c>
      <c r="L35" s="50"/>
    </row>
    <row r="36" spans="1:12" ht="12.75">
      <c r="A36" s="5">
        <v>4</v>
      </c>
      <c r="B36" s="5" t="s">
        <v>29</v>
      </c>
      <c r="C36" s="16">
        <v>1180242.85</v>
      </c>
      <c r="D36" s="19"/>
      <c r="E36" s="19"/>
      <c r="F36" s="54">
        <v>946318.23</v>
      </c>
      <c r="G36" s="50"/>
      <c r="H36" s="49">
        <f t="shared" si="5"/>
        <v>-233924.6200000001</v>
      </c>
      <c r="I36" s="50"/>
      <c r="J36" s="13"/>
      <c r="K36" s="49">
        <f t="shared" si="6"/>
        <v>-233924.6200000001</v>
      </c>
      <c r="L36" s="50"/>
    </row>
    <row r="37" spans="1:12" ht="12.75">
      <c r="A37" s="5">
        <v>5</v>
      </c>
      <c r="B37" s="5" t="s">
        <v>30</v>
      </c>
      <c r="C37" s="16">
        <v>828785.02</v>
      </c>
      <c r="D37" s="19"/>
      <c r="E37" s="19"/>
      <c r="F37" s="54">
        <v>787820.37</v>
      </c>
      <c r="G37" s="50"/>
      <c r="H37" s="49">
        <f t="shared" si="5"/>
        <v>-40964.65000000002</v>
      </c>
      <c r="I37" s="50"/>
      <c r="J37" s="13"/>
      <c r="K37" s="49">
        <f t="shared" si="6"/>
        <v>-40964.65000000002</v>
      </c>
      <c r="L37" s="50"/>
    </row>
    <row r="38" spans="1:12" ht="12.75" hidden="1" outlineLevel="1">
      <c r="A38" s="5">
        <v>6</v>
      </c>
      <c r="B38" s="5" t="s">
        <v>51</v>
      </c>
      <c r="C38" s="16"/>
      <c r="D38" s="19"/>
      <c r="E38" s="19"/>
      <c r="F38" s="49"/>
      <c r="G38" s="50"/>
      <c r="H38" s="49">
        <f t="shared" si="5"/>
        <v>0</v>
      </c>
      <c r="I38" s="50"/>
      <c r="J38" s="13"/>
      <c r="K38" s="49">
        <f t="shared" si="6"/>
        <v>0</v>
      </c>
      <c r="L38" s="50"/>
    </row>
    <row r="39" spans="1:12" ht="20.25" customHeight="1" collapsed="1">
      <c r="A39" s="5"/>
      <c r="B39" s="8" t="s">
        <v>31</v>
      </c>
      <c r="C39" s="17">
        <f>SUM(C33:C38)</f>
        <v>6625514.449999999</v>
      </c>
      <c r="D39" s="17"/>
      <c r="E39" s="17"/>
      <c r="F39" s="44">
        <f>SUM(F33:G38)</f>
        <v>5341378.399999999</v>
      </c>
      <c r="G39" s="44"/>
      <c r="H39" s="46">
        <f>SUM(H33:H38)</f>
        <v>-1284136.0499999998</v>
      </c>
      <c r="I39" s="47"/>
      <c r="J39" s="18">
        <f>SUM(J33:J38)</f>
        <v>0</v>
      </c>
      <c r="K39" s="46">
        <f t="shared" si="6"/>
        <v>-1284136.0499999998</v>
      </c>
      <c r="L39" s="47"/>
    </row>
    <row r="41" spans="1:12" ht="42.75" customHeight="1">
      <c r="A41" s="10" t="s">
        <v>0</v>
      </c>
      <c r="B41" s="75" t="s">
        <v>67</v>
      </c>
      <c r="C41" s="75"/>
      <c r="D41" s="75"/>
      <c r="E41" s="75"/>
      <c r="F41" s="75"/>
      <c r="G41" s="76" t="s">
        <v>37</v>
      </c>
      <c r="H41" s="76"/>
      <c r="I41" s="76"/>
      <c r="J41" s="76"/>
      <c r="K41" s="76"/>
      <c r="L41" s="76"/>
    </row>
    <row r="42" spans="1:12" ht="12.75">
      <c r="A42" s="5">
        <v>1</v>
      </c>
      <c r="B42" s="74" t="s">
        <v>36</v>
      </c>
      <c r="C42" s="74"/>
      <c r="D42" s="74"/>
      <c r="E42" s="74"/>
      <c r="F42" s="74"/>
      <c r="G42" s="73">
        <v>-90180.69</v>
      </c>
      <c r="H42" s="73"/>
      <c r="I42" s="73"/>
      <c r="J42" s="73"/>
      <c r="K42" s="73"/>
      <c r="L42" s="73"/>
    </row>
    <row r="43" spans="1:12" ht="12.75">
      <c r="A43" s="5">
        <v>2</v>
      </c>
      <c r="B43" s="74" t="s">
        <v>34</v>
      </c>
      <c r="C43" s="74"/>
      <c r="D43" s="74"/>
      <c r="E43" s="74"/>
      <c r="F43" s="74"/>
      <c r="G43" s="73">
        <v>-8067.85</v>
      </c>
      <c r="H43" s="73"/>
      <c r="I43" s="73"/>
      <c r="J43" s="73"/>
      <c r="K43" s="73"/>
      <c r="L43" s="73"/>
    </row>
    <row r="44" spans="1:12" ht="12.75">
      <c r="A44" s="5">
        <v>3</v>
      </c>
      <c r="B44" s="74" t="s">
        <v>44</v>
      </c>
      <c r="C44" s="74"/>
      <c r="D44" s="74"/>
      <c r="E44" s="74"/>
      <c r="F44" s="74"/>
      <c r="G44" s="73">
        <v>-192800.47</v>
      </c>
      <c r="H44" s="73"/>
      <c r="I44" s="73"/>
      <c r="J44" s="73"/>
      <c r="K44" s="73"/>
      <c r="L44" s="73"/>
    </row>
    <row r="45" spans="1:12" ht="12.75">
      <c r="A45" s="5">
        <v>4</v>
      </c>
      <c r="B45" s="74" t="s">
        <v>35</v>
      </c>
      <c r="C45" s="74"/>
      <c r="D45" s="74"/>
      <c r="E45" s="74"/>
      <c r="F45" s="74"/>
      <c r="G45" s="73">
        <v>-35213.07</v>
      </c>
      <c r="H45" s="73"/>
      <c r="I45" s="73"/>
      <c r="J45" s="73"/>
      <c r="K45" s="73"/>
      <c r="L45" s="73"/>
    </row>
    <row r="46" spans="1:12" ht="12.75">
      <c r="A46" s="5">
        <v>5</v>
      </c>
      <c r="B46" s="74" t="s">
        <v>46</v>
      </c>
      <c r="C46" s="74"/>
      <c r="D46" s="74"/>
      <c r="E46" s="74"/>
      <c r="F46" s="74"/>
      <c r="G46" s="73">
        <v>-14771.68</v>
      </c>
      <c r="H46" s="73"/>
      <c r="I46" s="73"/>
      <c r="J46" s="73"/>
      <c r="K46" s="73"/>
      <c r="L46" s="73"/>
    </row>
    <row r="47" spans="1:12" ht="12.75">
      <c r="A47" s="5">
        <v>6</v>
      </c>
      <c r="B47" s="74" t="s">
        <v>45</v>
      </c>
      <c r="C47" s="74"/>
      <c r="D47" s="74"/>
      <c r="E47" s="74"/>
      <c r="F47" s="74"/>
      <c r="G47" s="73">
        <v>-10024.29</v>
      </c>
      <c r="H47" s="73"/>
      <c r="I47" s="73"/>
      <c r="J47" s="73"/>
      <c r="K47" s="73"/>
      <c r="L47" s="73"/>
    </row>
    <row r="48" spans="1:12" ht="12.75">
      <c r="A48" s="5">
        <v>7</v>
      </c>
      <c r="B48" s="74" t="s">
        <v>83</v>
      </c>
      <c r="C48" s="74"/>
      <c r="D48" s="74"/>
      <c r="E48" s="74"/>
      <c r="F48" s="74"/>
      <c r="G48" s="73">
        <v>-28421.89</v>
      </c>
      <c r="H48" s="73"/>
      <c r="I48" s="73"/>
      <c r="J48" s="73"/>
      <c r="K48" s="73"/>
      <c r="L48" s="73"/>
    </row>
    <row r="49" spans="1:12" ht="12.75">
      <c r="A49" s="5">
        <v>8</v>
      </c>
      <c r="B49" s="74" t="s">
        <v>38</v>
      </c>
      <c r="C49" s="74"/>
      <c r="D49" s="74"/>
      <c r="E49" s="74"/>
      <c r="F49" s="74"/>
      <c r="G49" s="73">
        <v>-27691.57</v>
      </c>
      <c r="H49" s="73"/>
      <c r="I49" s="73"/>
      <c r="J49" s="73"/>
      <c r="K49" s="73"/>
      <c r="L49" s="73"/>
    </row>
    <row r="50" spans="1:12" ht="12.75">
      <c r="A50" s="5">
        <v>9</v>
      </c>
      <c r="B50" s="77" t="s">
        <v>79</v>
      </c>
      <c r="C50" s="78"/>
      <c r="D50" s="78"/>
      <c r="E50" s="78"/>
      <c r="F50" s="79"/>
      <c r="G50" s="49">
        <v>-345725.74</v>
      </c>
      <c r="H50" s="54"/>
      <c r="I50" s="54"/>
      <c r="J50" s="54"/>
      <c r="K50" s="54"/>
      <c r="L50" s="50"/>
    </row>
    <row r="51" spans="1:12" ht="24.75" customHeight="1">
      <c r="A51" s="5"/>
      <c r="B51" s="39" t="s">
        <v>31</v>
      </c>
      <c r="C51" s="39"/>
      <c r="D51" s="39"/>
      <c r="E51" s="39"/>
      <c r="F51" s="39"/>
      <c r="G51" s="44">
        <f>SUM(G42:L50)</f>
        <v>-752897.25</v>
      </c>
      <c r="H51" s="44"/>
      <c r="I51" s="44"/>
      <c r="J51" s="44"/>
      <c r="K51" s="44"/>
      <c r="L51" s="44"/>
    </row>
    <row r="52" spans="1:12" ht="11.25" customHeight="1">
      <c r="A52" s="25"/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</row>
    <row r="53" spans="1:12" ht="26.25" customHeight="1">
      <c r="A53" s="10" t="s">
        <v>0</v>
      </c>
      <c r="B53" s="39" t="s">
        <v>81</v>
      </c>
      <c r="C53" s="39"/>
      <c r="D53" s="39"/>
      <c r="E53" s="39"/>
      <c r="F53" s="39"/>
      <c r="G53" s="40" t="s">
        <v>82</v>
      </c>
      <c r="H53" s="41"/>
      <c r="I53" s="41"/>
      <c r="J53" s="42"/>
      <c r="K53" s="43" t="s">
        <v>33</v>
      </c>
      <c r="L53" s="43"/>
    </row>
    <row r="54" spans="1:12" ht="24.75" customHeight="1">
      <c r="A54" s="5">
        <v>1</v>
      </c>
      <c r="B54" s="44">
        <v>155972.16</v>
      </c>
      <c r="C54" s="44"/>
      <c r="D54" s="44"/>
      <c r="E54" s="44"/>
      <c r="F54" s="44"/>
      <c r="G54" s="44">
        <v>54401.51</v>
      </c>
      <c r="H54" s="44"/>
      <c r="I54" s="44"/>
      <c r="J54" s="44"/>
      <c r="K54" s="45">
        <f>G54-B54</f>
        <v>-101570.65</v>
      </c>
      <c r="L54" s="43"/>
    </row>
    <row r="55" spans="1:12" ht="11.25" customHeight="1">
      <c r="A55" s="25"/>
      <c r="B55" s="26"/>
      <c r="C55" s="26"/>
      <c r="D55" s="26"/>
      <c r="E55" s="26"/>
      <c r="F55" s="26"/>
      <c r="G55" s="27"/>
      <c r="H55" s="27"/>
      <c r="I55" s="27"/>
      <c r="J55" s="27"/>
      <c r="K55" s="27"/>
      <c r="L55" s="27"/>
    </row>
    <row r="56" spans="1:12" ht="20.25" customHeight="1">
      <c r="A56" s="70" t="s">
        <v>39</v>
      </c>
      <c r="B56" s="63"/>
      <c r="C56" s="62"/>
      <c r="D56" s="62"/>
      <c r="E56" s="62"/>
      <c r="F56" s="62"/>
      <c r="G56" s="62"/>
      <c r="H56" s="62"/>
      <c r="I56" s="63"/>
      <c r="J56" s="72" t="s">
        <v>33</v>
      </c>
      <c r="K56" s="72"/>
      <c r="L56" s="72"/>
    </row>
    <row r="57" spans="1:12" ht="24.75" customHeight="1">
      <c r="A57" s="71"/>
      <c r="B57" s="65"/>
      <c r="C57" s="64"/>
      <c r="D57" s="64"/>
      <c r="E57" s="64"/>
      <c r="F57" s="64"/>
      <c r="G57" s="64"/>
      <c r="H57" s="64"/>
      <c r="I57" s="65"/>
      <c r="J57" s="66">
        <f>L30+K39+G51+K54</f>
        <v>-1827103.8615840003</v>
      </c>
      <c r="K57" s="67"/>
      <c r="L57" s="68"/>
    </row>
    <row r="59" spans="1:12" ht="12.75">
      <c r="A59" s="69" t="s">
        <v>43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</sheetData>
  <mergeCells count="92">
    <mergeCell ref="B49:F49"/>
    <mergeCell ref="G49:L49"/>
    <mergeCell ref="B51:F51"/>
    <mergeCell ref="G51:L51"/>
    <mergeCell ref="B50:F50"/>
    <mergeCell ref="G50:L50"/>
    <mergeCell ref="B47:F47"/>
    <mergeCell ref="G47:L47"/>
    <mergeCell ref="B48:F48"/>
    <mergeCell ref="G48:L48"/>
    <mergeCell ref="B45:F45"/>
    <mergeCell ref="G45:L45"/>
    <mergeCell ref="B46:F46"/>
    <mergeCell ref="G46:L46"/>
    <mergeCell ref="B43:F43"/>
    <mergeCell ref="G43:L43"/>
    <mergeCell ref="B44:F44"/>
    <mergeCell ref="G44:L44"/>
    <mergeCell ref="B41:F41"/>
    <mergeCell ref="G41:L41"/>
    <mergeCell ref="B42:F42"/>
    <mergeCell ref="G42:L42"/>
    <mergeCell ref="A59:L59"/>
    <mergeCell ref="A56:B57"/>
    <mergeCell ref="J56:L56"/>
    <mergeCell ref="C56:I57"/>
    <mergeCell ref="J57:L57"/>
    <mergeCell ref="J1:L1"/>
    <mergeCell ref="J2:L2"/>
    <mergeCell ref="J3:L3"/>
    <mergeCell ref="J4:L4"/>
    <mergeCell ref="G19:I19"/>
    <mergeCell ref="G20:I20"/>
    <mergeCell ref="H38:I38"/>
    <mergeCell ref="G24:I24"/>
    <mergeCell ref="G25:I25"/>
    <mergeCell ref="G29:I29"/>
    <mergeCell ref="G13:I13"/>
    <mergeCell ref="H36:I36"/>
    <mergeCell ref="H37:I37"/>
    <mergeCell ref="G16:I16"/>
    <mergeCell ref="G17:I17"/>
    <mergeCell ref="G14:I14"/>
    <mergeCell ref="G15:I15"/>
    <mergeCell ref="F36:G36"/>
    <mergeCell ref="F37:G37"/>
    <mergeCell ref="G18:I18"/>
    <mergeCell ref="H39:I39"/>
    <mergeCell ref="F39:G39"/>
    <mergeCell ref="G26:I26"/>
    <mergeCell ref="G27:I27"/>
    <mergeCell ref="G28:I28"/>
    <mergeCell ref="G30:I30"/>
    <mergeCell ref="F38:G38"/>
    <mergeCell ref="H32:I32"/>
    <mergeCell ref="F32:G32"/>
    <mergeCell ref="K38:L38"/>
    <mergeCell ref="F35:G35"/>
    <mergeCell ref="H35:I35"/>
    <mergeCell ref="F34:G34"/>
    <mergeCell ref="H34:I34"/>
    <mergeCell ref="A10:J10"/>
    <mergeCell ref="B8:B9"/>
    <mergeCell ref="A8:A9"/>
    <mergeCell ref="F8:F9"/>
    <mergeCell ref="J8:J9"/>
    <mergeCell ref="A7:F7"/>
    <mergeCell ref="F33:G33"/>
    <mergeCell ref="C8:C9"/>
    <mergeCell ref="H33:I33"/>
    <mergeCell ref="G23:I23"/>
    <mergeCell ref="G21:I21"/>
    <mergeCell ref="G22:I22"/>
    <mergeCell ref="G8:I9"/>
    <mergeCell ref="G11:I11"/>
    <mergeCell ref="G12:I12"/>
    <mergeCell ref="K39:L39"/>
    <mergeCell ref="A6:L6"/>
    <mergeCell ref="K34:L34"/>
    <mergeCell ref="K35:L35"/>
    <mergeCell ref="K36:L36"/>
    <mergeCell ref="K37:L37"/>
    <mergeCell ref="L8:L10"/>
    <mergeCell ref="K33:L33"/>
    <mergeCell ref="K32:L32"/>
    <mergeCell ref="K8:K9"/>
    <mergeCell ref="B53:F53"/>
    <mergeCell ref="G53:J53"/>
    <mergeCell ref="K53:L53"/>
    <mergeCell ref="B54:F54"/>
    <mergeCell ref="G54:J54"/>
    <mergeCell ref="K54:L54"/>
  </mergeCells>
  <printOptions/>
  <pageMargins left="0.67" right="0.16" top="0.22" bottom="0.16" header="0.28" footer="0.1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2012-04-05T13:11:57Z</cp:lastPrinted>
  <dcterms:created xsi:type="dcterms:W3CDTF">1996-10-08T23:32:33Z</dcterms:created>
  <dcterms:modified xsi:type="dcterms:W3CDTF">2012-04-06T08:02:46Z</dcterms:modified>
  <cp:category/>
  <cp:version/>
  <cp:contentType/>
  <cp:contentStatus/>
</cp:coreProperties>
</file>